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6.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docProps/app.xml" ContentType="application/vnd.openxmlformats-officedocument.extended-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comments1.xml" ContentType="application/vnd.openxmlformats-officedocument.spreadsheetml.comment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D72" lockStructure="1"/>
  <bookViews>
    <workbookView xWindow="480" yWindow="345" windowWidth="15600" windowHeight="9315" tabRatio="795"/>
  </bookViews>
  <sheets>
    <sheet name="Unternehmensdaten" sheetId="8" r:id="rId1"/>
    <sheet name="Kalkulation" sheetId="2" r:id="rId2"/>
    <sheet name="Übersicht LZ_NLZ" sheetId="3" r:id="rId3"/>
    <sheet name="Österreichische Werte" sheetId="5" r:id="rId4"/>
    <sheet name="KV Daten DFG 2016" sheetId="7" r:id="rId5"/>
    <sheet name="Statistische Daten" sheetId="1" r:id="rId6"/>
  </sheets>
  <definedNames>
    <definedName name="Bundesland">'Österreichische Werte'!$A$14:$A$22</definedName>
    <definedName name="_xlnm.Print_Area" localSheetId="1">Kalkulation!$A$1:$L$96</definedName>
    <definedName name="_xlnm.Print_Area" localSheetId="4">'KV Daten DFG 2016'!$A$1:$G$17</definedName>
    <definedName name="_xlnm.Print_Area" localSheetId="3">'Österreichische Werte'!$A$1:$I$50</definedName>
    <definedName name="_xlnm.Print_Area" localSheetId="5">'Statistische Daten'!$A$1:$D$36</definedName>
    <definedName name="_xlnm.Print_Area" localSheetId="2">'Übersicht LZ_NLZ'!$A$1:$H$69</definedName>
    <definedName name="_xlnm.Print_Area" localSheetId="0">Unternehmensdaten!$A$1:$C$80</definedName>
    <definedName name="DZ">'Österreichische Werte'!$A$13:$B$22</definedName>
    <definedName name="Feiertage">'Statistische Daten'!$A$2:$D$4</definedName>
    <definedName name="kalkulationswerte">'Statistische Daten'!$A$57:$F$65</definedName>
    <definedName name="Unternehmensart">'Statistische Daten'!$K$58:$K$62</definedName>
  </definedNames>
  <calcPr calcId="145621"/>
</workbook>
</file>

<file path=xl/calcChain.xml><?xml version="1.0" encoding="utf-8"?>
<calcChain xmlns="http://schemas.openxmlformats.org/spreadsheetml/2006/main">
  <c r="E38" i="5" l="1"/>
  <c r="E37" i="5"/>
  <c r="D33" i="5"/>
  <c r="D53" i="3" l="1"/>
  <c r="C53" i="3"/>
  <c r="D51" i="3"/>
  <c r="C51" i="3"/>
  <c r="C48" i="3"/>
  <c r="D47" i="3"/>
  <c r="C47" i="3"/>
  <c r="D46" i="3"/>
  <c r="C46" i="3"/>
  <c r="D45" i="3"/>
  <c r="C45" i="3"/>
  <c r="D44" i="3"/>
  <c r="C44" i="3"/>
  <c r="D39" i="2"/>
  <c r="D37" i="2"/>
  <c r="D35" i="2"/>
  <c r="D34" i="2"/>
  <c r="D33" i="2"/>
  <c r="D32" i="2"/>
  <c r="D17" i="2"/>
  <c r="D15" i="2"/>
  <c r="D13" i="2"/>
  <c r="D12" i="2"/>
  <c r="D11" i="2"/>
  <c r="D10" i="2"/>
  <c r="D9" i="2"/>
  <c r="C81" i="5"/>
  <c r="B81" i="5"/>
  <c r="C82" i="5"/>
  <c r="C78" i="5"/>
  <c r="B43" i="5"/>
  <c r="G42" i="5"/>
  <c r="T8" i="5"/>
  <c r="T7" i="5"/>
  <c r="T6" i="5"/>
  <c r="S8" i="5"/>
  <c r="S7" i="5"/>
  <c r="S6" i="5"/>
  <c r="E19" i="3" l="1"/>
  <c r="E18" i="3"/>
  <c r="B56" i="8" l="1"/>
  <c r="D26" i="8"/>
  <c r="B13" i="8"/>
  <c r="C53" i="8" l="1"/>
  <c r="D70" i="2" s="1"/>
  <c r="C50" i="8"/>
  <c r="C24" i="8"/>
  <c r="D68" i="2" s="1"/>
  <c r="C23" i="8"/>
  <c r="C38" i="8"/>
  <c r="C48" i="8"/>
  <c r="C33" i="8"/>
  <c r="B41" i="8" l="1"/>
  <c r="D36" i="8" l="1"/>
  <c r="B44" i="8" l="1"/>
  <c r="D80" i="2"/>
  <c r="D79" i="2"/>
  <c r="K3" i="2"/>
  <c r="J3" i="2"/>
  <c r="I3" i="2"/>
  <c r="H3" i="2"/>
  <c r="G3" i="2"/>
  <c r="F3" i="2"/>
  <c r="H61" i="1"/>
  <c r="N7" i="5"/>
  <c r="N8" i="5"/>
  <c r="N6" i="5"/>
  <c r="M8" i="5"/>
  <c r="M7" i="5"/>
  <c r="M6" i="5"/>
  <c r="G58" i="1" l="1"/>
  <c r="H59" i="1" l="1"/>
  <c r="D54" i="2" s="1"/>
  <c r="H66" i="1"/>
  <c r="D69" i="2" s="1"/>
  <c r="H65" i="1"/>
  <c r="H62" i="1"/>
  <c r="H64" i="1"/>
  <c r="D67" i="2" s="1"/>
  <c r="H63" i="1"/>
  <c r="H60" i="1"/>
  <c r="D57" i="2" l="1"/>
  <c r="D66" i="3" s="1"/>
  <c r="C78" i="1"/>
  <c r="B78" i="1" s="1"/>
  <c r="B79" i="1" s="1"/>
  <c r="B75" i="1"/>
  <c r="B77" i="1"/>
  <c r="E35" i="5"/>
  <c r="E34" i="5"/>
  <c r="D35" i="5"/>
  <c r="D34" i="5"/>
  <c r="C33" i="5"/>
  <c r="E33" i="5" s="1"/>
  <c r="E32" i="5"/>
  <c r="D32" i="5"/>
  <c r="B64" i="1"/>
  <c r="F61" i="1"/>
  <c r="F60" i="1"/>
  <c r="E62" i="5"/>
  <c r="B60" i="5"/>
  <c r="D60" i="5" s="1"/>
  <c r="F60" i="5" s="1"/>
  <c r="B59" i="5"/>
  <c r="D59" i="5" s="1"/>
  <c r="F59" i="5" s="1"/>
  <c r="B58" i="5"/>
  <c r="D58" i="5" s="1"/>
  <c r="F58" i="5" s="1"/>
  <c r="B57" i="5"/>
  <c r="D57" i="5" s="1"/>
  <c r="F57" i="5" s="1"/>
  <c r="B56" i="5"/>
  <c r="D56" i="5" s="1"/>
  <c r="F56" i="5" s="1"/>
  <c r="B55" i="5"/>
  <c r="B58" i="1"/>
  <c r="E39" i="5" l="1"/>
  <c r="D62" i="1"/>
  <c r="E62" i="1"/>
  <c r="F62" i="1"/>
  <c r="C62" i="1"/>
  <c r="D55" i="5"/>
  <c r="F55" i="5" s="1"/>
  <c r="F62" i="5" s="1"/>
  <c r="B17" i="8" l="1"/>
  <c r="D46" i="2" s="1"/>
  <c r="G39" i="5"/>
  <c r="E63" i="1"/>
  <c r="D63" i="1"/>
  <c r="F63" i="1"/>
  <c r="F31" i="1"/>
  <c r="G22" i="1"/>
  <c r="E60" i="1"/>
  <c r="D60" i="1"/>
  <c r="E48" i="1"/>
  <c r="E31" i="1"/>
  <c r="D27" i="1"/>
  <c r="D25" i="1"/>
  <c r="D19" i="1"/>
  <c r="F58" i="1"/>
  <c r="F64" i="1" s="1"/>
  <c r="F49" i="1"/>
  <c r="F48" i="1"/>
  <c r="F40" i="1"/>
  <c r="F39" i="1"/>
  <c r="F33" i="1"/>
  <c r="F34" i="1" s="1"/>
  <c r="F28" i="1"/>
  <c r="F25" i="1" s="1"/>
  <c r="E58" i="1"/>
  <c r="E64" i="1" s="1"/>
  <c r="E49" i="1"/>
  <c r="E40" i="1"/>
  <c r="E39" i="1"/>
  <c r="E33" i="1"/>
  <c r="E28" i="1"/>
  <c r="E30" i="1" s="1"/>
  <c r="D31" i="1"/>
  <c r="D58" i="1"/>
  <c r="D64" i="1" s="1"/>
  <c r="D49" i="1"/>
  <c r="D48" i="1"/>
  <c r="D40" i="1"/>
  <c r="D39" i="1"/>
  <c r="D33" i="1"/>
  <c r="D28" i="1"/>
  <c r="D30" i="1" s="1"/>
  <c r="C49" i="1"/>
  <c r="C48" i="1"/>
  <c r="C31" i="1"/>
  <c r="C58" i="1"/>
  <c r="C64" i="1" s="1"/>
  <c r="C40" i="1"/>
  <c r="C39" i="1"/>
  <c r="C33" i="1"/>
  <c r="C28" i="1"/>
  <c r="C21" i="1" s="1"/>
  <c r="B40" i="1"/>
  <c r="B29" i="8" l="1"/>
  <c r="C29" i="8" s="1"/>
  <c r="D58" i="2" s="1"/>
  <c r="H39" i="5"/>
  <c r="E21" i="1"/>
  <c r="C25" i="1"/>
  <c r="C29" i="1" s="1"/>
  <c r="D34" i="1"/>
  <c r="D38" i="1" s="1"/>
  <c r="D21" i="1"/>
  <c r="D29" i="1" s="1"/>
  <c r="E27" i="1"/>
  <c r="C30" i="1"/>
  <c r="D23" i="1"/>
  <c r="C19" i="1"/>
  <c r="E23" i="1"/>
  <c r="C27" i="1"/>
  <c r="C34" i="1"/>
  <c r="C36" i="1" s="1"/>
  <c r="C51" i="1" s="1"/>
  <c r="C65" i="1" s="1"/>
  <c r="F50" i="1"/>
  <c r="E19" i="1"/>
  <c r="E29" i="1" s="1"/>
  <c r="C23" i="1"/>
  <c r="E50" i="1"/>
  <c r="C50" i="1"/>
  <c r="D50" i="1"/>
  <c r="E25" i="1"/>
  <c r="F27" i="1"/>
  <c r="F23" i="1"/>
  <c r="F19" i="1"/>
  <c r="F30" i="1"/>
  <c r="F21" i="1"/>
  <c r="E34" i="1"/>
  <c r="F38" i="1"/>
  <c r="F36" i="1"/>
  <c r="F51" i="1" s="1"/>
  <c r="F65" i="1" s="1"/>
  <c r="B31" i="1"/>
  <c r="B33" i="1"/>
  <c r="B28" i="1"/>
  <c r="B39" i="1"/>
  <c r="B49" i="1"/>
  <c r="B48" i="1"/>
  <c r="B25" i="1" l="1"/>
  <c r="B23" i="1"/>
  <c r="B27" i="1"/>
  <c r="B21" i="1"/>
  <c r="B19" i="1"/>
  <c r="B29" i="1" s="1"/>
  <c r="D36" i="1"/>
  <c r="D51" i="1" s="1"/>
  <c r="D65" i="1" s="1"/>
  <c r="C38" i="1"/>
  <c r="F29" i="1"/>
  <c r="E36" i="1"/>
  <c r="E51" i="1" s="1"/>
  <c r="E38" i="1"/>
  <c r="F52" i="1"/>
  <c r="D52" i="1"/>
  <c r="C52" i="1"/>
  <c r="B50" i="1"/>
  <c r="B34" i="1"/>
  <c r="B37" i="1" s="1"/>
  <c r="E13" i="3"/>
  <c r="G13" i="3" s="1"/>
  <c r="E12" i="3"/>
  <c r="G12" i="3" s="1"/>
  <c r="D4" i="1"/>
  <c r="D3" i="1"/>
  <c r="D27" i="5"/>
  <c r="E11" i="3"/>
  <c r="G11" i="3" s="1"/>
  <c r="D25" i="2"/>
  <c r="D24" i="2"/>
  <c r="C40" i="3"/>
  <c r="E40" i="3" s="1"/>
  <c r="G19" i="3"/>
  <c r="G18" i="3"/>
  <c r="D5" i="3"/>
  <c r="D7" i="5"/>
  <c r="D8" i="5"/>
  <c r="D6" i="5"/>
  <c r="F7" i="5" s="1"/>
  <c r="B46" i="8" s="1"/>
  <c r="C46" i="8" s="1"/>
  <c r="D55" i="2" s="1"/>
  <c r="D64" i="3" s="1"/>
  <c r="D52" i="3"/>
  <c r="C52" i="3"/>
  <c r="D16" i="2"/>
  <c r="D38" i="2" s="1"/>
  <c r="A47" i="2"/>
  <c r="E65" i="1" l="1"/>
  <c r="E52" i="1"/>
  <c r="F53" i="1"/>
  <c r="F55" i="1" s="1"/>
  <c r="D53" i="1"/>
  <c r="D55" i="1" s="1"/>
  <c r="C53" i="1"/>
  <c r="C55" i="1" s="1"/>
  <c r="B36" i="1"/>
  <c r="B51" i="1" s="1"/>
  <c r="B65" i="1" s="1"/>
  <c r="B38" i="1"/>
  <c r="G40" i="3"/>
  <c r="F54" i="1" l="1"/>
  <c r="E53" i="1"/>
  <c r="E55" i="1" s="1"/>
  <c r="D54" i="1"/>
  <c r="C54" i="1"/>
  <c r="B52" i="1"/>
  <c r="D14" i="2"/>
  <c r="E54" i="1" l="1"/>
  <c r="B53" i="1"/>
  <c r="D81" i="2"/>
  <c r="A81" i="2" s="1"/>
  <c r="D36" i="2"/>
  <c r="D40" i="2" s="1"/>
  <c r="A41" i="2" s="1"/>
  <c r="D26" i="2"/>
  <c r="A27" i="2" s="1"/>
  <c r="D18" i="2"/>
  <c r="A19" i="2" s="1"/>
  <c r="B54" i="1" l="1"/>
  <c r="B55" i="1"/>
  <c r="C56" i="8"/>
  <c r="D71" i="2" s="1"/>
  <c r="D67" i="3" l="1"/>
  <c r="D63" i="3"/>
  <c r="D54" i="3"/>
  <c r="C54" i="3"/>
  <c r="D49" i="3"/>
  <c r="C49" i="3"/>
  <c r="E14" i="3"/>
  <c r="E5" i="3"/>
  <c r="F5" i="3" s="1"/>
  <c r="D72" i="2" l="1"/>
  <c r="A72" i="2" s="1"/>
  <c r="E16" i="3"/>
  <c r="B34" i="8" s="1"/>
  <c r="G14" i="3"/>
  <c r="G16" i="3" s="1"/>
  <c r="C55" i="3"/>
  <c r="D57" i="3"/>
  <c r="H5" i="3"/>
  <c r="G5" i="3" s="1"/>
  <c r="E17" i="3" l="1"/>
  <c r="E20" i="3" l="1"/>
  <c r="F17" i="3" s="1"/>
  <c r="G17" i="3" l="1"/>
  <c r="F18" i="3"/>
  <c r="E28" i="3"/>
  <c r="E29" i="3" s="1"/>
  <c r="E35" i="3" s="1"/>
  <c r="F13" i="3"/>
  <c r="F12" i="3"/>
  <c r="F15" i="3"/>
  <c r="E21" i="3"/>
  <c r="E24" i="3" s="1"/>
  <c r="F19" i="3"/>
  <c r="E34" i="3" l="1"/>
  <c r="F40" i="3" s="1"/>
  <c r="E58" i="3" s="1"/>
  <c r="F58" i="3" s="1"/>
  <c r="E30" i="3"/>
  <c r="E22" i="3"/>
  <c r="F28" i="3"/>
  <c r="G20" i="3"/>
  <c r="H17" i="3" s="1"/>
  <c r="E27" i="5"/>
  <c r="B43" i="8" s="1"/>
  <c r="C43" i="8" s="1"/>
  <c r="D56" i="2" s="1"/>
  <c r="D65" i="3" l="1"/>
  <c r="D68" i="3" s="1"/>
  <c r="D59" i="2"/>
  <c r="A60" i="2" s="1"/>
  <c r="F35" i="3"/>
  <c r="F36" i="3" s="1"/>
  <c r="E36" i="3"/>
  <c r="E41" i="3" s="1"/>
  <c r="F41" i="3" s="1"/>
  <c r="F60" i="3" s="1"/>
  <c r="B48" i="5" s="1"/>
  <c r="H13" i="3"/>
  <c r="G28" i="3"/>
  <c r="H19" i="3"/>
  <c r="H12" i="3"/>
  <c r="G21" i="3"/>
  <c r="H15" i="3"/>
  <c r="H18" i="3"/>
  <c r="E56" i="3" l="1"/>
  <c r="F56" i="3" s="1"/>
  <c r="F59" i="3" s="1"/>
  <c r="H68" i="3"/>
  <c r="F68" i="3"/>
  <c r="D39" i="3"/>
  <c r="D38" i="3"/>
  <c r="G22" i="3"/>
  <c r="G24" i="3"/>
  <c r="G34" i="3"/>
  <c r="H28" i="3"/>
  <c r="G29" i="3"/>
  <c r="B14" i="8" l="1"/>
  <c r="E4" i="2" s="1"/>
  <c r="H4" i="2" s="1"/>
  <c r="D40" i="3"/>
  <c r="G30" i="3"/>
  <c r="G35" i="3"/>
  <c r="H35" i="3" s="1"/>
  <c r="H36" i="3" s="1"/>
  <c r="G56" i="3" s="1"/>
  <c r="H56" i="3" s="1"/>
  <c r="H40" i="3"/>
  <c r="G58" i="3" s="1"/>
  <c r="H58" i="3" s="1"/>
  <c r="G4" i="2" l="1"/>
  <c r="G27" i="2" s="1"/>
  <c r="G41" i="2" s="1"/>
  <c r="F4" i="2"/>
  <c r="F6" i="2" s="1"/>
  <c r="F19" i="2" s="1"/>
  <c r="E19" i="2" s="1"/>
  <c r="I4" i="2"/>
  <c r="I60" i="2" s="1"/>
  <c r="K4" i="2"/>
  <c r="K60" i="2" s="1"/>
  <c r="E6" i="2"/>
  <c r="J4" i="2"/>
  <c r="J60" i="2" s="1"/>
  <c r="L4" i="2"/>
  <c r="L72" i="2" s="1"/>
  <c r="G36" i="3"/>
  <c r="G41" i="3" s="1"/>
  <c r="H41" i="3" s="1"/>
  <c r="H60" i="3" s="1"/>
  <c r="B49" i="5" s="1"/>
  <c r="H72" i="2"/>
  <c r="H27" i="2"/>
  <c r="H41" i="2" s="1"/>
  <c r="H6" i="2"/>
  <c r="H19" i="2" s="1"/>
  <c r="H60" i="2"/>
  <c r="H59" i="3"/>
  <c r="K27" i="2" l="1"/>
  <c r="K41" i="2" s="1"/>
  <c r="G72" i="2"/>
  <c r="G60" i="2"/>
  <c r="G6" i="2"/>
  <c r="G19" i="2" s="1"/>
  <c r="J27" i="2"/>
  <c r="J41" i="2" s="1"/>
  <c r="J72" i="2"/>
  <c r="I72" i="2"/>
  <c r="I6" i="2"/>
  <c r="I19" i="2" s="1"/>
  <c r="I27" i="2"/>
  <c r="I41" i="2" s="1"/>
  <c r="F60" i="2"/>
  <c r="E60" i="2" s="1"/>
  <c r="J6" i="2"/>
  <c r="J19" i="2" s="1"/>
  <c r="F72" i="2"/>
  <c r="E72" i="2" s="1"/>
  <c r="L60" i="2"/>
  <c r="L6" i="2"/>
  <c r="L19" i="2" s="1"/>
  <c r="K72" i="2"/>
  <c r="K6" i="2"/>
  <c r="K19" i="2" s="1"/>
  <c r="E21" i="2"/>
  <c r="J21" i="2" s="1"/>
  <c r="F27" i="2"/>
  <c r="F47" i="2" s="1"/>
  <c r="E47" i="2" s="1"/>
  <c r="L27" i="2"/>
  <c r="L41" i="2" s="1"/>
  <c r="H47" i="2"/>
  <c r="G47" i="2"/>
  <c r="K47" i="2" l="1"/>
  <c r="F61" i="3"/>
  <c r="F69" i="3" s="1"/>
  <c r="H61" i="3"/>
  <c r="H69" i="3" s="1"/>
  <c r="L47" i="2"/>
  <c r="J47" i="2"/>
  <c r="I47" i="2"/>
  <c r="E27" i="2"/>
  <c r="E29" i="2" s="1"/>
  <c r="K29" i="2" s="1"/>
  <c r="F41" i="2"/>
  <c r="E41" i="2" s="1"/>
  <c r="L21" i="2"/>
  <c r="I21" i="2"/>
  <c r="F21" i="2"/>
  <c r="H21" i="2"/>
  <c r="K21" i="2"/>
  <c r="G21" i="2"/>
  <c r="F29" i="2" l="1"/>
  <c r="L29" i="2"/>
  <c r="E43" i="2"/>
  <c r="F43" i="2" s="1"/>
  <c r="G29" i="2"/>
  <c r="J29" i="2"/>
  <c r="H29" i="2"/>
  <c r="I29" i="2"/>
  <c r="H43" i="2" l="1"/>
  <c r="I43" i="2"/>
  <c r="K43" i="2"/>
  <c r="G43" i="2"/>
  <c r="J43" i="2"/>
  <c r="L43" i="2"/>
  <c r="E49" i="2"/>
  <c r="K49" i="2" s="1"/>
  <c r="K51" i="2" s="1"/>
  <c r="L49" i="2" l="1"/>
  <c r="L51" i="2" s="1"/>
  <c r="E62" i="2"/>
  <c r="G62" i="2" s="1"/>
  <c r="G64" i="2" s="1"/>
  <c r="J49" i="2"/>
  <c r="J51" i="2" s="1"/>
  <c r="F49" i="2"/>
  <c r="F51" i="2" s="1"/>
  <c r="G49" i="2"/>
  <c r="G51" i="2" s="1"/>
  <c r="H49" i="2"/>
  <c r="H51" i="2" s="1"/>
  <c r="I49" i="2"/>
  <c r="I51" i="2" s="1"/>
  <c r="D64" i="2" l="1"/>
  <c r="H62" i="2"/>
  <c r="H64" i="2" s="1"/>
  <c r="I62" i="2"/>
  <c r="I64" i="2" s="1"/>
  <c r="K62" i="2"/>
  <c r="K64" i="2" s="1"/>
  <c r="J62" i="2"/>
  <c r="J64" i="2" s="1"/>
  <c r="E74" i="2"/>
  <c r="K74" i="2" s="1"/>
  <c r="K76" i="2" s="1"/>
  <c r="K81" i="2" s="1"/>
  <c r="L62" i="2"/>
  <c r="L64" i="2" s="1"/>
  <c r="F62" i="2"/>
  <c r="F64" i="2" s="1"/>
  <c r="L74" i="2" l="1"/>
  <c r="L76" i="2" s="1"/>
  <c r="L81" i="2" s="1"/>
  <c r="L94" i="2" s="1"/>
  <c r="F74" i="2"/>
  <c r="F76" i="2" s="1"/>
  <c r="F81" i="2" s="1"/>
  <c r="E81" i="2" s="1"/>
  <c r="E83" i="2" s="1"/>
  <c r="G74" i="2"/>
  <c r="G76" i="2" s="1"/>
  <c r="G81" i="2" s="1"/>
  <c r="G89" i="2" s="1"/>
  <c r="I74" i="2"/>
  <c r="I76" i="2" s="1"/>
  <c r="I81" i="2" s="1"/>
  <c r="I90" i="2" s="1"/>
  <c r="H74" i="2"/>
  <c r="H76" i="2" s="1"/>
  <c r="H81" i="2" s="1"/>
  <c r="H90" i="2" s="1"/>
  <c r="J74" i="2"/>
  <c r="J76" i="2" s="1"/>
  <c r="J81" i="2" s="1"/>
  <c r="J94" i="2" s="1"/>
  <c r="K93" i="2"/>
  <c r="K95" i="2"/>
  <c r="K89" i="2"/>
  <c r="K90" i="2"/>
  <c r="K94" i="2"/>
  <c r="K96" i="2"/>
  <c r="K88" i="2"/>
  <c r="L89" i="2" l="1"/>
  <c r="I96" i="2"/>
  <c r="I95" i="2"/>
  <c r="G94" i="2"/>
  <c r="G95" i="2"/>
  <c r="L90" i="2"/>
  <c r="L96" i="2"/>
  <c r="L95" i="2"/>
  <c r="L88" i="2"/>
  <c r="L93" i="2"/>
  <c r="G93" i="2"/>
  <c r="F89" i="2"/>
  <c r="G96" i="2"/>
  <c r="G88" i="2"/>
  <c r="G90" i="2"/>
  <c r="F90" i="2"/>
  <c r="F88" i="2"/>
  <c r="F95" i="2"/>
  <c r="F93" i="2"/>
  <c r="F96" i="2"/>
  <c r="F94" i="2"/>
  <c r="J95" i="2"/>
  <c r="J89" i="2"/>
  <c r="J90" i="2"/>
  <c r="H93" i="2"/>
  <c r="I94" i="2"/>
  <c r="H88" i="2"/>
  <c r="H94" i="2"/>
  <c r="I89" i="2"/>
  <c r="J88" i="2"/>
  <c r="H95" i="2"/>
  <c r="H89" i="2"/>
  <c r="I93" i="2"/>
  <c r="J96" i="2"/>
  <c r="H96" i="2"/>
  <c r="I88" i="2"/>
  <c r="J93" i="2"/>
  <c r="J83" i="2"/>
  <c r="J86" i="2" s="1"/>
  <c r="G83" i="2"/>
  <c r="G86" i="2" s="1"/>
  <c r="L83" i="2"/>
  <c r="L86" i="2" s="1"/>
  <c r="K83" i="2"/>
  <c r="K86" i="2" s="1"/>
  <c r="I83" i="2"/>
  <c r="I86" i="2" s="1"/>
  <c r="H83" i="2"/>
  <c r="H86" i="2" s="1"/>
  <c r="F83" i="2"/>
  <c r="F86" i="2" s="1"/>
</calcChain>
</file>

<file path=xl/comments1.xml><?xml version="1.0" encoding="utf-8"?>
<comments xmlns="http://schemas.openxmlformats.org/spreadsheetml/2006/main">
  <authors>
    <author>Peter Fiedler</author>
  </authors>
  <commentList>
    <comment ref="B5" authorId="0">
      <text>
        <r>
          <rPr>
            <sz val="9"/>
            <color indexed="81"/>
            <rFont val="Tahoma"/>
            <family val="2"/>
          </rPr>
          <t>Bitte geben Sie hier den Ort ein, an dem Ihr  Unternehmen angesiedelt ist!</t>
        </r>
      </text>
    </comment>
    <comment ref="B9" authorId="0">
      <text>
        <r>
          <rPr>
            <sz val="9"/>
            <color indexed="81"/>
            <rFont val="Tahoma"/>
            <family val="2"/>
          </rPr>
          <t>Bitte geben Sie hier den Umsatz des Betrachtungszeitraums ein:
Gesamtes Vorjahr (eventuell Planjahr)</t>
        </r>
      </text>
    </comment>
    <comment ref="B11" authorId="0">
      <text>
        <r>
          <rPr>
            <sz val="9"/>
            <color indexed="81"/>
            <rFont val="Tahoma"/>
            <family val="2"/>
          </rPr>
          <t>Bitte geben Sie UNBEDINGT eine Gesamtmitarbeiteranzahl an!</t>
        </r>
      </text>
    </comment>
    <comment ref="B12" authorId="0">
      <text>
        <r>
          <rPr>
            <sz val="9"/>
            <color indexed="81"/>
            <rFont val="Tahoma"/>
            <family val="2"/>
          </rPr>
          <t>Bitte geben Sie hier die Anzahl der Mitarbeiter Ihres Unternehmens an, die mehr als 25 Jahre im Unternehmen sind und daher Anspruch auf eine 6. Urlaubswoche haben.</t>
        </r>
      </text>
    </comment>
    <comment ref="B13" authorId="0">
      <text>
        <r>
          <rPr>
            <sz val="9"/>
            <color indexed="81"/>
            <rFont val="Tahoma"/>
            <family val="2"/>
          </rPr>
          <t>Hier errechnet sich automatisch der prozentuelle Anteil Ihrer Mitarbeiter, die länger als 25 Jahr in Ihrem Unternehmen beschäftigt sind.</t>
        </r>
      </text>
    </comment>
    <comment ref="B14" authorId="0">
      <text>
        <r>
          <rPr>
            <sz val="9"/>
            <color indexed="81"/>
            <rFont val="Tahoma"/>
            <family val="2"/>
          </rPr>
          <t>Hier errechnet sich automatisch Ihr unternehmensindividueller Aufschlag in % für die Nichtleistungszeiten. Es handelt sich hier um einen gewichteten Durchschnitt, der die Anzahl der über 25 Jahre im Unternehmen beschäftigten Mitarbeiter berücksichtigt.
(Dieser Wert liegt zwischen den Grenzen der Werte von F28 und H28 in der Tabelle Übersicht LZ_NLZ.)</t>
        </r>
      </text>
    </comment>
    <comment ref="B16" authorId="0">
      <text>
        <r>
          <rPr>
            <sz val="9"/>
            <color indexed="81"/>
            <rFont val="Tahoma"/>
            <family val="2"/>
          </rPr>
          <t>Bitte geben Sie hier die Anzahl der Mitarbeiter in Ihrem Unternehmen ein, welche noch nach der Regelung der Abfertigung ALT beschäftigt sind (Eintritt vor 01.01.2003)</t>
        </r>
      </text>
    </comment>
    <comment ref="B17" authorId="0">
      <text>
        <r>
          <rPr>
            <sz val="9"/>
            <color indexed="81"/>
            <rFont val="Tahoma"/>
            <family val="2"/>
          </rPr>
          <t>Hier errechnet sich automatisch Ihr unternehmensindividueller prozentaufschlag für Abfertigungsvorsorge errechnet aus Abfertigung neu und Abfertigung ALT im Verhältnis der jeweiligen Beschäftigungsverhältnisse</t>
        </r>
      </text>
    </comment>
    <comment ref="B19" authorId="0">
      <text>
        <r>
          <rPr>
            <sz val="9"/>
            <color indexed="81"/>
            <rFont val="Tahoma"/>
            <family val="2"/>
          </rPr>
          <t>Wollen Sie die Berechnung mit der Anzahl der Feiertage im langjährigen Durchschnitt befüllen (empfohlen) oder mit der Anzahl der Feiertage im laufenden Jahr?</t>
        </r>
      </text>
    </comment>
    <comment ref="B23" authorId="0">
      <text>
        <r>
          <rPr>
            <sz val="9"/>
            <color indexed="81"/>
            <rFont val="Tahoma"/>
            <family val="2"/>
          </rPr>
          <t>Bitte geben Sie hier die Jahreskostern für Ihre Verbrauchsmaterialien (Reinigungschemie, Tücher, Mopbezüge usw. in EUR) ein.</t>
        </r>
      </text>
    </comment>
    <comment ref="B24" authorId="0">
      <text>
        <r>
          <rPr>
            <sz val="9"/>
            <color indexed="81"/>
            <rFont val="Tahoma"/>
            <family val="2"/>
          </rPr>
          <t>Bitte geben Sie hier die Jahreskostern für die von Ihnen angeschafften Maschinen und Geräte ein. Dies beinhaltet kleinere Gerätschaften (Systemwägen, Mopstangen, Eimer etc.) wie auch Einscheibenmaschinen, Waschautomaten und sonstige Maschinen inkl. AFA (Abschreibung für Abnutzung), Reparaturaufwand und geringwertige Wirtschaftsgüter.</t>
        </r>
      </text>
    </comment>
    <comment ref="B26" authorId="0">
      <text>
        <r>
          <rPr>
            <sz val="9"/>
            <color indexed="81"/>
            <rFont val="Tahoma"/>
            <family val="2"/>
          </rPr>
          <t>Bitte geben Sie hier Ihre unternehmensindividuellen Werte für die gesamten Jahreskosten für Sicherheitsfachkraft und Arbeitsmediziner ein.
Wenn Sie hier keinen individuellen Wert eingeben, wird automatisch mit dem auf Ihre Mitarbeiteranzahl hochgerechneten, kalkulatorischen Wert 
kalkuliert!</t>
        </r>
      </text>
    </comment>
    <comment ref="B27" authorId="0">
      <text>
        <r>
          <rPr>
            <sz val="9"/>
            <color indexed="81"/>
            <rFont val="Tahoma"/>
            <family val="2"/>
          </rPr>
          <t>Bitte geben Sie hier die gesamten Jahreskosten für Persönliche Schutzausrüstung ein.</t>
        </r>
      </text>
    </comment>
    <comment ref="B28" authorId="0">
      <text>
        <r>
          <rPr>
            <sz val="9"/>
            <color indexed="81"/>
            <rFont val="Tahoma"/>
            <family val="2"/>
          </rPr>
          <t>Bitte geben Sie hier die Gesamtjahreskosten für Arbeitskleidung in Ihrem Unternehmen ein.</t>
        </r>
      </text>
    </comment>
    <comment ref="B29" authorId="0">
      <text>
        <r>
          <rPr>
            <sz val="9"/>
            <color indexed="81"/>
            <rFont val="Tahoma"/>
            <family val="2"/>
          </rPr>
          <t>Hier errechnet sich der Wert für Ihre unternehmensindividuellen Kosten für Präventivdienste entweder unter Berücksichtigung Ihrer Eingabe oder basierend auf Ihrer Mitarbeiteranzahl gemäß dem kalkulatorischen Wert.</t>
        </r>
      </text>
    </comment>
    <comment ref="B32" authorId="0">
      <text>
        <r>
          <rPr>
            <sz val="9"/>
            <color indexed="81"/>
            <rFont val="Tahoma"/>
            <family val="2"/>
          </rPr>
          <t>Bitte geben Sie UNBEDINGT eine aktuelle (Vorjahr) oder geplante Gesamt-Bruttolohnsumme für alle Arbeiter pro Jahr ein.</t>
        </r>
      </text>
    </comment>
    <comment ref="B33" authorId="0">
      <text>
        <r>
          <rPr>
            <sz val="9"/>
            <color indexed="81"/>
            <rFont val="Tahoma"/>
            <family val="2"/>
          </rPr>
          <t>Bitte geben Sie hier die Gesamtjahressumme für Ihre Kranklöhne (Krankenentgelt) für alle Arbeiter ein.</t>
        </r>
      </text>
    </comment>
    <comment ref="B34" authorId="0">
      <text>
        <r>
          <rPr>
            <sz val="9"/>
            <color indexed="81"/>
            <rFont val="Tahoma"/>
            <family val="2"/>
          </rPr>
          <t>Hier errechnet sich ein kalkulatorischer Wert für die Krankenstandstage pro Mitarbeiter pro Jahr basierend auf Ihren individuellen Lohn- und Kranklohnangaben.
Diesen Wert (Empfehlung: aufgerundet auf den nächsten ganzen Tag) können Sie für die Eingabe bei den Krankenstandstagen verwenden).</t>
        </r>
      </text>
    </comment>
    <comment ref="B36" authorId="0">
      <text>
        <r>
          <rPr>
            <sz val="9"/>
            <color indexed="81"/>
            <rFont val="Tahoma"/>
            <family val="2"/>
          </rPr>
          <t>Bitte geben Sie hier einen tatsächlichen Wert aus Ihrem Unternehmen ein. Wenn Sie keinen Wert ermittelt haben, können Sie die Schätzung  "Krankenstand in Tagen (kalkulatorischer Wert)" aufgerundet auf den nächsten halben Tag eingeben, oder Sie lassen die Zelle frei, dann wird automatisch der österreichische Durchschnitt eingesetzt!</t>
        </r>
      </text>
    </comment>
    <comment ref="B37" authorId="0">
      <text>
        <r>
          <rPr>
            <sz val="9"/>
            <color indexed="81"/>
            <rFont val="Tahoma"/>
            <family val="2"/>
          </rPr>
          <t>Bitte geben Sie hier die sonstigen Arbeitsverhinderungen in durchschnittlichen Tagen pro Mitarbeiter pro Jahr an (zB: Abwesenheit für Pflegefreistellungen, Arztbesuche, Behördenwege, etc.).</t>
        </r>
      </text>
    </comment>
    <comment ref="B38" authorId="0">
      <text>
        <r>
          <rPr>
            <sz val="9"/>
            <color indexed="81"/>
            <rFont val="Tahoma"/>
            <family val="2"/>
          </rPr>
          <t>Bitte geben Sie hier die sonstigen Fehlzeiten in durchschnittlichen Tagen pro Mitarbeiter pro Jahr an (zB: Abwesenheit der Lehrlinge, Abwesenheit für Ausbildungszwecke (Schulungen, Seminare), nicht verrechenbare Einsatzzeiten etc.).</t>
        </r>
      </text>
    </comment>
    <comment ref="B40" authorId="0">
      <text>
        <r>
          <rPr>
            <sz val="9"/>
            <color indexed="81"/>
            <rFont val="Tahoma"/>
            <family val="2"/>
          </rPr>
          <t>Bitte geben Sie hier die Anzahl der in Ihrem Unternehmen im Betrachtungszeitraum (Vorjahr oder Planjahr) aufgetretenen auflösungspflichtigen Beendigungen von Dienstverhältnissen an. (Gesamtanzahl)</t>
        </r>
      </text>
    </comment>
    <comment ref="B41" authorId="0">
      <text>
        <r>
          <rPr>
            <sz val="9"/>
            <color indexed="81"/>
            <rFont val="Tahoma"/>
            <family val="2"/>
          </rPr>
          <t>Hier errechnet sich automatisch Ihr unternehmensindividueller prozentueller Wert für die Auflösungsabgabe in Prozent, welcher für die Kalkulation herangezogen wird.
Sollten Sie hier keine Angaben machen, so wird der statistische Wert herangezogen. Wichtig ist Ihre Eingabe, welche Art von Unternehmen Sie sind (Unternehmensgröße)!</t>
        </r>
      </text>
    </comment>
    <comment ref="B43" authorId="0">
      <text>
        <r>
          <rPr>
            <sz val="9"/>
            <color indexed="81"/>
            <rFont val="Tahoma"/>
            <family val="2"/>
          </rPr>
          <t>Hier errechnet sich aufgrund Ihrer Mitarbeiteranzahl der Wert für die verpflichtende Dienstgeberabgabe (DGA, U-Bahnsteuer) für Unternehmen, die Ihre Leistungen in Wien anbieten oder dort Ihren Unternehmenssitz haben.</t>
        </r>
      </text>
    </comment>
    <comment ref="B44" authorId="0">
      <text>
        <r>
          <rPr>
            <sz val="9"/>
            <color indexed="81"/>
            <rFont val="Tahoma"/>
            <family val="2"/>
          </rPr>
          <t>Hier errechnet sich automatisch der Wert der aufgrund Ihrer Mitarbeiteranzahl benötigten begünstigten Behinderten im Unternehmen.</t>
        </r>
      </text>
    </comment>
    <comment ref="B45" authorId="0">
      <text>
        <r>
          <rPr>
            <sz val="9"/>
            <color indexed="81"/>
            <rFont val="Tahoma"/>
            <family val="2"/>
          </rPr>
          <t>Bitte geben Sie hier die Anzahl der von Ihnen beschäftigten begünstigt Behinderten ein.</t>
        </r>
      </text>
    </comment>
    <comment ref="B46" authorId="0">
      <text>
        <r>
          <rPr>
            <sz val="9"/>
            <color indexed="81"/>
            <rFont val="Tahoma"/>
            <family val="2"/>
          </rPr>
          <t>Hier errechnet sich automatisch Ihr unternehmensindividueller Näherungswert für die Behindertenausgleichstaxe basierend auf Ihrer Mitarbeiteranzahl, der Anzahl der benötigten begünstigt Behinderten und der Anzahl der von Ihrem Unternehmen beschäftigten begünstigt Behinderten.</t>
        </r>
      </text>
    </comment>
    <comment ref="B48" authorId="0">
      <text>
        <r>
          <rPr>
            <sz val="9"/>
            <color indexed="81"/>
            <rFont val="Tahoma"/>
            <family val="2"/>
          </rPr>
          <t>Bitte geben Sie hier Ihre gesamten Jahreskosten für Fahrtkostenersatz für alle Ihre Mitarbeiter in EUR ein.</t>
        </r>
      </text>
    </comment>
    <comment ref="B50" authorId="0">
      <text>
        <r>
          <rPr>
            <sz val="9"/>
            <color indexed="81"/>
            <rFont val="Tahoma"/>
            <family val="2"/>
          </rPr>
          <t>Bitte geben Sie hier Ihre jährlichen Gesamtkosten für (alle) Objektleiter (inkl. Lohn- oder Gehaltskosten mit Nebenkosten ein. Gegebenenfalls können Sie hier auch objektleiterbezogene Kosten (Mobiltelefone, Fahrzeuge inkl. Treibstoff, Versicherung etc.) hinzurechen. Diese wären dann allerdings bei den Sonstigen Kosten wegzulassen, damit es zu keiner Doppelerfassung kommt.</t>
        </r>
      </text>
    </comment>
    <comment ref="B53" authorId="0">
      <text>
        <r>
          <rPr>
            <sz val="9"/>
            <color indexed="81"/>
            <rFont val="Tahoma"/>
            <family val="2"/>
          </rPr>
          <t>Wenn Sie Filialen haben und diese kostenmässig berücksichtigen möchten (unterschiedliche Stundensätze für unterschiedliche Regionen):
Geben Sie hier bitte alle Kosten, welche durch eine eigenständige Filiale entstehen ein (Miete, Betriebskosten, Verbrauchsmaterialien, Personalkosten (inkl. gesetzlichen Nebenkosten) etc.).
Wenn Sie keine Fililalen haben, geben Sie keinen Wert ein.</t>
        </r>
      </text>
    </comment>
    <comment ref="B57" authorId="0">
      <text>
        <r>
          <rPr>
            <sz val="9"/>
            <color indexed="81"/>
            <rFont val="Tahoma"/>
            <family val="2"/>
          </rPr>
          <t>Bitte geben Sie entweder die gesamten sonstigen Kosten pro Jahr inkl. Abschreibungen Ihres Unternehmens bei "Gesamteingabe aller Kosten" ein oder schlüsseln Sie die Daten im Detail auf die Zeilen 59 bis 77 auf (empfohlen)!</t>
        </r>
      </text>
    </comment>
    <comment ref="B79" authorId="0">
      <text>
        <r>
          <rPr>
            <sz val="9"/>
            <color indexed="81"/>
            <rFont val="Tahoma"/>
            <family val="2"/>
          </rPr>
          <t>Ein Wert bis 0,5 % deutet auf ein sehr risikofreudiges Unternehmen hin, ein Wert ab 1,5 % auf ein risikoabgeneigtes Unternehmen!</t>
        </r>
      </text>
    </comment>
  </commentList>
</comments>
</file>

<file path=xl/comments2.xml><?xml version="1.0" encoding="utf-8"?>
<comments xmlns="http://schemas.openxmlformats.org/spreadsheetml/2006/main">
  <authors>
    <author>Peter Fiedler</author>
  </authors>
  <commentList>
    <comment ref="C27" authorId="0">
      <text>
        <r>
          <rPr>
            <b/>
            <sz val="9"/>
            <color indexed="81"/>
            <rFont val="Tahoma"/>
            <family val="2"/>
          </rPr>
          <t>Peter Fiedler:</t>
        </r>
        <r>
          <rPr>
            <sz val="9"/>
            <color indexed="81"/>
            <rFont val="Tahoma"/>
            <family val="2"/>
          </rPr>
          <t xml:space="preserve">
Exakte Wochenanzahl inkl. Schaltjahr (52,18 Wo/Jahr)</t>
        </r>
      </text>
    </comment>
  </commentList>
</comments>
</file>

<file path=xl/comments3.xml><?xml version="1.0" encoding="utf-8"?>
<comments xmlns="http://schemas.openxmlformats.org/spreadsheetml/2006/main">
  <authors>
    <author>Peter Fiedler</author>
  </authors>
  <commentList>
    <comment ref="C47" authorId="0">
      <text>
        <r>
          <rPr>
            <b/>
            <sz val="9"/>
            <color indexed="81"/>
            <rFont val="Tahoma"/>
            <family val="2"/>
          </rPr>
          <t>Peter Fiedler:</t>
        </r>
        <r>
          <rPr>
            <sz val="9"/>
            <color indexed="81"/>
            <rFont val="Tahoma"/>
            <family val="2"/>
          </rPr>
          <t xml:space="preserve">
LG6</t>
        </r>
      </text>
    </comment>
    <comment ref="D47" authorId="0">
      <text>
        <r>
          <rPr>
            <b/>
            <sz val="9"/>
            <color indexed="81"/>
            <rFont val="Tahoma"/>
            <family val="2"/>
          </rPr>
          <t>Peter Fiedler:</t>
        </r>
        <r>
          <rPr>
            <sz val="9"/>
            <color indexed="81"/>
            <rFont val="Tahoma"/>
            <family val="2"/>
          </rPr>
          <t xml:space="preserve">
LG6</t>
        </r>
      </text>
    </comment>
    <comment ref="E47" authorId="0">
      <text>
        <r>
          <rPr>
            <b/>
            <sz val="9"/>
            <color indexed="81"/>
            <rFont val="Tahoma"/>
            <family val="2"/>
          </rPr>
          <t>Peter Fiedler:</t>
        </r>
        <r>
          <rPr>
            <sz val="9"/>
            <color indexed="81"/>
            <rFont val="Tahoma"/>
            <family val="2"/>
          </rPr>
          <t xml:space="preserve">
LG6</t>
        </r>
      </text>
    </comment>
    <comment ref="F47" authorId="0">
      <text>
        <r>
          <rPr>
            <b/>
            <sz val="9"/>
            <color indexed="81"/>
            <rFont val="Tahoma"/>
            <family val="2"/>
          </rPr>
          <t>Peter Fiedler:</t>
        </r>
        <r>
          <rPr>
            <sz val="9"/>
            <color indexed="81"/>
            <rFont val="Tahoma"/>
            <family val="2"/>
          </rPr>
          <t xml:space="preserve">
LG6</t>
        </r>
      </text>
    </comment>
  </commentList>
</comments>
</file>

<file path=xl/sharedStrings.xml><?xml version="1.0" encoding="utf-8"?>
<sst xmlns="http://schemas.openxmlformats.org/spreadsheetml/2006/main" count="511" uniqueCount="403">
  <si>
    <t>Eingabeblatt für Unternehmensdaten</t>
  </si>
  <si>
    <t>Kranklöhne</t>
  </si>
  <si>
    <t>Name des Unternehmens</t>
  </si>
  <si>
    <t>Unternehmensstandort</t>
  </si>
  <si>
    <t>Behindertenausgleichstaxe</t>
  </si>
  <si>
    <t>Werte Behindertenausgleichstaxe</t>
  </si>
  <si>
    <t>Werte Dienstgeberzuschlag</t>
  </si>
  <si>
    <t>Definition:</t>
  </si>
  <si>
    <t>https://www.wko.at/Content.Node/Service/Steuern/Lohnverrechnung/Vom-Brutto-zum-Netto/Zuschlag_zum_Dienstgeberbeitrag.html</t>
  </si>
  <si>
    <t>Bundesland</t>
  </si>
  <si>
    <t>Burgenland</t>
  </si>
  <si>
    <t>Kärnten</t>
  </si>
  <si>
    <t>Niederösterreich</t>
  </si>
  <si>
    <t>Oberösterreich</t>
  </si>
  <si>
    <t>Salzburg</t>
  </si>
  <si>
    <t>Steiermark</t>
  </si>
  <si>
    <t>Tirol</t>
  </si>
  <si>
    <t>Vorarlberg</t>
  </si>
  <si>
    <t>Wien</t>
  </si>
  <si>
    <t>pro Mitarbeiter</t>
  </si>
  <si>
    <t>pro Woche</t>
  </si>
  <si>
    <t>pro Monat</t>
  </si>
  <si>
    <t>pro Jahr</t>
  </si>
  <si>
    <t>Ausgangsdaten</t>
  </si>
  <si>
    <t>Kal.Tage/Wo</t>
  </si>
  <si>
    <t>Arb.Zeit/Wo</t>
  </si>
  <si>
    <t>Arb.Tage/Wo</t>
  </si>
  <si>
    <t>Std./Mo</t>
  </si>
  <si>
    <t>LOHNNEBENKOSTENBERECHNUNG</t>
  </si>
  <si>
    <t>Ermittlung der Ø Anwesenheitszeit / Jahr</t>
  </si>
  <si>
    <t>Urlaubsdauer in Wochen</t>
  </si>
  <si>
    <t>AT</t>
  </si>
  <si>
    <t xml:space="preserve">Krankenstand </t>
  </si>
  <si>
    <t xml:space="preserve">Sonstige Verhinderungszeiten </t>
  </si>
  <si>
    <t>Std.</t>
  </si>
  <si>
    <t>Ø Anwesenheitszeit im Jahr pro Woche</t>
  </si>
  <si>
    <t>Nichtanwesenheitszeiten / Jahr</t>
  </si>
  <si>
    <t>Summe Sonderzahlung</t>
  </si>
  <si>
    <t>Sozialversicherungsbeiträge (AG-Anteil)</t>
  </si>
  <si>
    <t>in % auf LB</t>
  </si>
  <si>
    <t>in % auf SZ</t>
  </si>
  <si>
    <t>Pensionsversicherung</t>
  </si>
  <si>
    <t>Unfallversicherung</t>
  </si>
  <si>
    <t>Krankenversicherung</t>
  </si>
  <si>
    <t>Arbeitslosenversicherung und Zuschlag gem. IESG</t>
  </si>
  <si>
    <t>Wohnbauförderungsbeitrag</t>
  </si>
  <si>
    <t>Sonstige Sozialabgaben</t>
  </si>
  <si>
    <t>Kommunalsteuer</t>
  </si>
  <si>
    <t>Summe Sonstige Sozialabgaben</t>
  </si>
  <si>
    <t>*LB (=c))</t>
  </si>
  <si>
    <t>Summe Sozialabgaben auf Sonderzahlung</t>
  </si>
  <si>
    <t>*SZ (=d))</t>
  </si>
  <si>
    <t>Summe Sozialabgaben auf LB+SZ, 
bezogen auf AW (a)</t>
  </si>
  <si>
    <t>Nebenkosten (b+d+f+g+h)</t>
  </si>
  <si>
    <t>Bruttostundensätze (Lohngruppen)</t>
  </si>
  <si>
    <t>Zuschläge (Üst., Nacht, SEG, Infektion, FT/SO)</t>
  </si>
  <si>
    <t>Trennungszulage, Zehrgeld</t>
  </si>
  <si>
    <t>Fahrtkostenentschädigung</t>
  </si>
  <si>
    <t>Bruttostundensatz</t>
  </si>
  <si>
    <t>Lohngruppe</t>
  </si>
  <si>
    <t>Bezeichnung</t>
  </si>
  <si>
    <t>Facharbeiter</t>
  </si>
  <si>
    <t>Sonderreiniger</t>
  </si>
  <si>
    <t>Hotelreinigung</t>
  </si>
  <si>
    <t>Hausbetreuer</t>
  </si>
  <si>
    <t xml:space="preserve">UHR Krankenhaus/Pflegeheim </t>
  </si>
  <si>
    <t>UHR (Büro, Industrie, …)</t>
  </si>
  <si>
    <t>Wo/Jahr</t>
  </si>
  <si>
    <t>Std/Jahr</t>
  </si>
  <si>
    <t>Arb.Tage/Jahr</t>
  </si>
  <si>
    <t xml:space="preserve">15 gesetzliche Feiertage </t>
  </si>
  <si>
    <t>Kal.Tage/Jahr</t>
  </si>
  <si>
    <t>Std./AT</t>
  </si>
  <si>
    <t>Kostenstruktur</t>
  </si>
  <si>
    <t>Materialkosten</t>
  </si>
  <si>
    <t>Fremdleistungen</t>
  </si>
  <si>
    <t>Präventivdienste (SFK, AM)</t>
  </si>
  <si>
    <t>Fahrtkostenersatz</t>
  </si>
  <si>
    <t>in % vom Lohn</t>
  </si>
  <si>
    <t>A</t>
  </si>
  <si>
    <t>Kollektivlohn</t>
  </si>
  <si>
    <t>B</t>
  </si>
  <si>
    <t>Summe Pos. B</t>
  </si>
  <si>
    <t>C</t>
  </si>
  <si>
    <t>Sozialabgaben</t>
  </si>
  <si>
    <t>Abfertigungsvorsorge</t>
  </si>
  <si>
    <t>Dienstgeberbeitrag (DB) Familienlastenausgleichsfonds</t>
  </si>
  <si>
    <t>Dienstgeberzuschlag (DZ)</t>
  </si>
  <si>
    <t>Summe Pos. C</t>
  </si>
  <si>
    <t>von Summe A + B</t>
  </si>
  <si>
    <t>Summe Pos. B + C</t>
  </si>
  <si>
    <t>D</t>
  </si>
  <si>
    <t>Sonderzahlungen</t>
  </si>
  <si>
    <t>Weihnachtsremuneration (WR)</t>
  </si>
  <si>
    <t xml:space="preserve">Urlaubszuschuss (UZ) </t>
  </si>
  <si>
    <t>Summe Pos. B + C + D</t>
  </si>
  <si>
    <t>E</t>
  </si>
  <si>
    <t>Arbeitslosenversicherung und IESG Zuschlag</t>
  </si>
  <si>
    <t>Summe Pos. E</t>
  </si>
  <si>
    <t>von Summe D</t>
  </si>
  <si>
    <t>Summe Pos. B + C + D + E</t>
  </si>
  <si>
    <t>Personaleinstandskosten</t>
  </si>
  <si>
    <t>F</t>
  </si>
  <si>
    <t>Fahrtkostenersatz DN</t>
  </si>
  <si>
    <t>Materialkosten (Roh-, Hilfs- und Betriebsstoffe)</t>
  </si>
  <si>
    <t>Objektleiterkosten</t>
  </si>
  <si>
    <t>Filialkosten</t>
  </si>
  <si>
    <t>Gemeinkosten</t>
  </si>
  <si>
    <t>Summe Pos. B + C + D + E + F</t>
  </si>
  <si>
    <t>G</t>
  </si>
  <si>
    <t>Risiko &amp; Gewinn</t>
  </si>
  <si>
    <t>Unternehmerrisiko</t>
  </si>
  <si>
    <t>Gewinn</t>
  </si>
  <si>
    <t>Summe Pos. G</t>
  </si>
  <si>
    <t>Mehrstunden</t>
  </si>
  <si>
    <t>EUR/Std pro Lohngruppe</t>
  </si>
  <si>
    <t>LG1</t>
  </si>
  <si>
    <t>LG2</t>
  </si>
  <si>
    <t>LG3</t>
  </si>
  <si>
    <t>LG4</t>
  </si>
  <si>
    <t>LG5</t>
  </si>
  <si>
    <t>LG6</t>
  </si>
  <si>
    <t>Wohnbauförderung</t>
  </si>
  <si>
    <t>Sozialversicherungsbeiträge gesamt</t>
  </si>
  <si>
    <t>Sozialversicherungsabgaben und sonstige Sozialabgaben von A und B</t>
  </si>
  <si>
    <t>Sozialversicherungsabgaben und sonstige Sozialabgaben von D</t>
  </si>
  <si>
    <t>H</t>
  </si>
  <si>
    <t>Summe Pos. B + C + D + E + F + G</t>
  </si>
  <si>
    <t>Kalkulation für Stundenverrechnungssätze für Denkmal-, Fassaden- und Gebäudereiniger</t>
  </si>
  <si>
    <t>Überstunden oder Nachstunde</t>
  </si>
  <si>
    <t>Mehrstunde an einem Sonntag</t>
  </si>
  <si>
    <t>Sonntagüberstunde in der Nacht</t>
  </si>
  <si>
    <t>Sonn- und Feiertagsstunden</t>
  </si>
  <si>
    <t>Sonntag- oder Feiertagüberstunde oder -nachtstunde</t>
  </si>
  <si>
    <t>Nachtüberstunde an einem Wochentag (nicht Feiertag)</t>
  </si>
  <si>
    <t>Basis für Zuschläge</t>
  </si>
  <si>
    <t>Auflösungsabgabe</t>
  </si>
  <si>
    <t>Anzahl Beendigungen des DV aus Eingabedaten aus dem Unternehmensdatenblatt</t>
  </si>
  <si>
    <t>Kosten für Präventivdienste (Arbeitsmediziner, SFK) und PSA (Gesamtkosten)</t>
  </si>
  <si>
    <t>Kosten für Arbeitnehmerschutz (Präventivdienste und PSA)</t>
  </si>
  <si>
    <t>Anzahl</t>
  </si>
  <si>
    <t>Kosten für Persönliche Schutzausrüstung (PSA)</t>
  </si>
  <si>
    <t>Abfertigungsvorsorge NEU</t>
  </si>
  <si>
    <t>Sonstige lohnbezogene Abgaben und Kosten</t>
  </si>
  <si>
    <t>Freie LV</t>
  </si>
  <si>
    <t>LV = Lohnvereinbarung</t>
  </si>
  <si>
    <t>von Summe A + B (Lohnsumme)</t>
  </si>
  <si>
    <t>Sonstige Kosten des Unternehmens</t>
  </si>
  <si>
    <t>Gerätekosten (AfA für Maschinen und Geräte, GeWiGü, Reparaturen)</t>
  </si>
  <si>
    <t>Summe Pos. H</t>
  </si>
  <si>
    <t>Summe Pos. B + C + D + E + F + G + H</t>
  </si>
  <si>
    <t>I</t>
  </si>
  <si>
    <t>Aufschlag auf Lohngruppe</t>
  </si>
  <si>
    <t>Summe Unternehmenskosten (= Stundensatz zur Vollkostendeckung)</t>
  </si>
  <si>
    <t>Stundenverrechnungssatz zu Vollkosten inkl. Gewinn</t>
  </si>
  <si>
    <t>Summe Pos. B + C + D + E + F + G + H + I</t>
  </si>
  <si>
    <t>Summe Pos. I</t>
  </si>
  <si>
    <t>Zusammentreffen mehrerer Zuschläge gem. KV (zB)</t>
  </si>
  <si>
    <t>DZ</t>
  </si>
  <si>
    <t>http://www.ars.at/forum/read.php?3,31537</t>
  </si>
  <si>
    <t>Jahr 2014</t>
  </si>
  <si>
    <t>Anzahl MA</t>
  </si>
  <si>
    <t>Quelle:</t>
  </si>
  <si>
    <t>weniger</t>
  </si>
  <si>
    <t>100 bis</t>
  </si>
  <si>
    <t>mehr als</t>
  </si>
  <si>
    <t>EUR/nebP/Mon</t>
  </si>
  <si>
    <t>nebP = nicht eingestellte begünstigte Person</t>
  </si>
  <si>
    <t>EUR/nebP/Jahr</t>
  </si>
  <si>
    <t>https://www.sozialministeriumservice.at/site/UnternehmerInnen/Ausgleichstaxe_und_Praemie</t>
  </si>
  <si>
    <t>Quelle &amp; Definition:</t>
  </si>
  <si>
    <t>Schalttag jedes 4. Jahr (Ø 1/4 Kdtg)</t>
  </si>
  <si>
    <t>52 volle Wochen plus Rumpfwoche</t>
  </si>
  <si>
    <t>Arbeiter</t>
  </si>
  <si>
    <t>1. Ø Vertragliche Brutto-Jahresarbeitszeit</t>
  </si>
  <si>
    <t xml:space="preserve">2. 15 gesetzliche Feiertage </t>
  </si>
  <si>
    <t>3. Vertragliche Netto-Jahresarbeitszeit (1-2-2a)</t>
  </si>
  <si>
    <t>4. Urlaub</t>
  </si>
  <si>
    <t>5. Soll-Arbeitszeit / Jahr (3-4)</t>
  </si>
  <si>
    <t xml:space="preserve">6. Krankenstand </t>
  </si>
  <si>
    <t xml:space="preserve">7. Sonstige Verhinderungszeiten </t>
  </si>
  <si>
    <t>8. Anwesenheitszeit/Jahr (5-6-7-7a), Leistungszeit</t>
  </si>
  <si>
    <t>oder Std.</t>
  </si>
  <si>
    <t>oder Wo</t>
  </si>
  <si>
    <t>Vertragliche Brutto - Jahresarbeitszeit</t>
  </si>
  <si>
    <t>9. Summe Nichtanwesenheits-Zeiten/Jahr (2+2a+4+6+7+7a), Fehlzeiten, Ausfallzeiten</t>
  </si>
  <si>
    <t>EUR/Auflösung</t>
  </si>
  <si>
    <t>Urlaubsdauer</t>
  </si>
  <si>
    <t>5 Wochen</t>
  </si>
  <si>
    <t>6 Wochen</t>
  </si>
  <si>
    <t>Berechnung der Lohnnebenkosten (Arbeiter)</t>
  </si>
  <si>
    <t>a) Anwesenheitsentgelt; AW-Entgelt</t>
  </si>
  <si>
    <t>b) Nicht AW-Entgelt</t>
  </si>
  <si>
    <t>c) Laufende Bezüge (a+b)</t>
  </si>
  <si>
    <t>d) Sonderzahlungen/SZ</t>
  </si>
  <si>
    <t>Stunden</t>
  </si>
  <si>
    <t>% auf LB</t>
  </si>
  <si>
    <t>Weihnachtsremuneration (4,33 Wo)</t>
  </si>
  <si>
    <t>Urlaubszuschuss UZ (4,33 Wo)</t>
  </si>
  <si>
    <t>e) Direkte Arbeitskosten (c+d)</t>
  </si>
  <si>
    <t>f) Sozialabgaben</t>
  </si>
  <si>
    <t>Summe Sozialversicherungsbeiträge</t>
  </si>
  <si>
    <r>
      <t>Familienlastenausgleichfond (DG-Beitrag) (</t>
    </r>
    <r>
      <rPr>
        <b/>
        <sz val="11"/>
        <color theme="1"/>
        <rFont val="Calibri"/>
        <family val="2"/>
        <scheme val="minor"/>
      </rPr>
      <t>DB</t>
    </r>
    <r>
      <rPr>
        <sz val="11"/>
        <color theme="1"/>
        <rFont val="Calibri"/>
        <family val="2"/>
        <scheme val="minor"/>
      </rPr>
      <t>)</t>
    </r>
  </si>
  <si>
    <r>
      <t>Dienstgeberzuschlag **unterschiedlich (</t>
    </r>
    <r>
      <rPr>
        <b/>
        <sz val="11"/>
        <color theme="1"/>
        <rFont val="Calibri"/>
        <family val="2"/>
        <scheme val="minor"/>
      </rPr>
      <t>DZ</t>
    </r>
    <r>
      <rPr>
        <sz val="11"/>
        <color theme="1"/>
        <rFont val="Calibri"/>
        <family val="2"/>
        <scheme val="minor"/>
      </rPr>
      <t>)</t>
    </r>
  </si>
  <si>
    <t>Summe Sozialabgaben auf laufende Bezüge</t>
  </si>
  <si>
    <t>g) Abfertigungskosten NEU 1,53% auf LB (a + b) und SZ</t>
  </si>
  <si>
    <t>Dienstgeberabgabe/U-Bahnsteuer (nur in Wien)</t>
  </si>
  <si>
    <t>Summe Sonstige Nebenkosten</t>
  </si>
  <si>
    <t>h) Sonstige Nebenkosten</t>
  </si>
  <si>
    <t>g*) Kosten für Abfertigung alt (betriebsindividuell)</t>
  </si>
  <si>
    <t>Abfertigung NEU (5 Wo Url)</t>
  </si>
  <si>
    <t>Abfertigung NEU (6 Wo Url)</t>
  </si>
  <si>
    <t>auf Leistungslöhne, Nichtleistungslöhne und Sonderzahlungen bezogen auf Leistungslöhne</t>
  </si>
  <si>
    <t>2a. Zusätzl. arbeitsfreie Tage gem. KV</t>
  </si>
  <si>
    <t>Abfertigungsvorsorge alt und NEU</t>
  </si>
  <si>
    <t>Wo/Mon</t>
  </si>
  <si>
    <t>es fehlt</t>
  </si>
  <si>
    <t>Präventivdienste (Arbeitsmediziner, SFK)</t>
  </si>
  <si>
    <t>Werte für Pärventivdienste</t>
  </si>
  <si>
    <t>2 Angebote über Stundensätze als Berechnungsgrundlage</t>
  </si>
  <si>
    <t>Ansonsten Durchschnittswert (Statisktik)</t>
  </si>
  <si>
    <t>Brutto Lohnsumme (Leistungs- und Nichtleistungslöhne)</t>
  </si>
  <si>
    <t>Anzahl Mitarbeiter gesamt</t>
  </si>
  <si>
    <t>Auflösungsabgabenpflichtige Beendigungen von Dienstverhältnissen
(DG-Kündigung, einvernehmliche Lösung des DV, Begründeter vorzeitiger Austritt aus dem DV)</t>
  </si>
  <si>
    <r>
      <rPr>
        <i/>
        <sz val="11"/>
        <color theme="1"/>
        <rFont val="Calibri"/>
        <family val="2"/>
        <scheme val="minor"/>
      </rPr>
      <t>Nebenkosten für Nichtanwesenheitszeiten</t>
    </r>
    <r>
      <rPr>
        <sz val="11"/>
        <color theme="1"/>
        <rFont val="Calibri"/>
        <family val="2"/>
        <scheme val="minor"/>
      </rPr>
      <t xml:space="preserve">
Feiertage, Urlaub, Krankenentgelt, sonstige Verhinderungen</t>
    </r>
  </si>
  <si>
    <t>Feiertage</t>
  </si>
  <si>
    <t>Zusätzl. arbeitsfreie Tage gem. KV</t>
  </si>
  <si>
    <t>langjähriger Durchschnitt</t>
  </si>
  <si>
    <t>Gesamt</t>
  </si>
  <si>
    <t>in %</t>
  </si>
  <si>
    <t>Materialaufwand</t>
  </si>
  <si>
    <t>Personalkosten</t>
  </si>
  <si>
    <t>Finanzierungskosten</t>
  </si>
  <si>
    <t>Summe Kosten</t>
  </si>
  <si>
    <t>Studie KMU-Forschung Austria - Beispielhafte Musterstundensatzkalkulation</t>
  </si>
  <si>
    <t>Umsatz</t>
  </si>
  <si>
    <t>Restliche Gemeinkosten</t>
  </si>
  <si>
    <t>Kosten in EUR</t>
  </si>
  <si>
    <t>Gemeinkosten in %/Umsatz</t>
  </si>
  <si>
    <t>Gemeinkosten in EUR/Std</t>
  </si>
  <si>
    <t>verrechenbare Stunden</t>
  </si>
  <si>
    <t>EPU Wien</t>
  </si>
  <si>
    <t>Summe Kosten in %</t>
  </si>
  <si>
    <t>Materialaufwand in %</t>
  </si>
  <si>
    <t>Fremdleistungen in %</t>
  </si>
  <si>
    <t>Personalkosten in %</t>
  </si>
  <si>
    <t>Sonstiger Aufwand</t>
  </si>
  <si>
    <t>Sonstiger Aufwand in %</t>
  </si>
  <si>
    <t>Materialkostenaufschlag verr</t>
  </si>
  <si>
    <t>Materialkostenaufschlag in EUR</t>
  </si>
  <si>
    <t>Gemeinkosten in %/Personalkosten</t>
  </si>
  <si>
    <t>Lohnnebenkosten gem Studie</t>
  </si>
  <si>
    <t>Diverse mögliche Zulagen</t>
  </si>
  <si>
    <t>Gewinnaufschlag</t>
  </si>
  <si>
    <t>Stundenlohn</t>
  </si>
  <si>
    <t>Lohnnebenkosten</t>
  </si>
  <si>
    <t>Zulagen</t>
  </si>
  <si>
    <t>Selbstkosten</t>
  </si>
  <si>
    <t>Stundensatz netto</t>
  </si>
  <si>
    <t>Sonstiger Aufwand in % von Personal</t>
  </si>
  <si>
    <t>Werte für Kalkulation</t>
  </si>
  <si>
    <t>Materialkosten/Personalkosten</t>
  </si>
  <si>
    <t>Stundenlohn inkl NLL</t>
  </si>
  <si>
    <t>Arbeitnehmerschutz</t>
  </si>
  <si>
    <t>17 Beschäftigte</t>
  </si>
  <si>
    <t>Gewinaufschlag auf PersKo</t>
  </si>
  <si>
    <t>70 Beschäftigte</t>
  </si>
  <si>
    <t>250 Beschäftigte</t>
  </si>
  <si>
    <t>510 Beschäftigte</t>
  </si>
  <si>
    <t>Dienstgeberabgabe (U-Bahnsteuer)</t>
  </si>
  <si>
    <t>Individueller % Aufschlag für Abfertigungsvorsorge</t>
  </si>
  <si>
    <t>Abfertigung ALT</t>
  </si>
  <si>
    <t>Jahre</t>
  </si>
  <si>
    <t>Monate</t>
  </si>
  <si>
    <t>%</t>
  </si>
  <si>
    <t>Wahrscheinlichkeit</t>
  </si>
  <si>
    <t>% AbfVS</t>
  </si>
  <si>
    <t>Fluktuationsabschlag</t>
  </si>
  <si>
    <t>Abfertigung Bezüge</t>
  </si>
  <si>
    <t>Personalkosten Brutto (ohne LNK!)</t>
  </si>
  <si>
    <t>Dienstgeberabgabe Ubahnsteuer (nur in Wien)</t>
  </si>
  <si>
    <t>Auflösungsabgabe in %</t>
  </si>
  <si>
    <t>Auflösungsabgabe in % (individueller Wert)</t>
  </si>
  <si>
    <t>generell dieser Wert, nur in Wien</t>
  </si>
  <si>
    <t>EUR/Jahr</t>
  </si>
  <si>
    <t>EUR/Std</t>
  </si>
  <si>
    <t>EUR/Jahr/MA</t>
  </si>
  <si>
    <t>SFK</t>
  </si>
  <si>
    <t>AM</t>
  </si>
  <si>
    <t>2013 auf 2015 hochgerechnet</t>
  </si>
  <si>
    <t>Schnitt SFK/MA/Jahr</t>
  </si>
  <si>
    <t>Schnitt AM/MA/Jahr</t>
  </si>
  <si>
    <t>Durchschnittl. Kosten/MA/Jahr</t>
  </si>
  <si>
    <t>ab 50 MA voller Wert, darunter halber Wert</t>
  </si>
  <si>
    <t>Kosten für Arbeitnehmerschutz (SFK, AM, PSA) in % von Bruttolohn</t>
  </si>
  <si>
    <t>Nichtleistungslöhne in %</t>
  </si>
  <si>
    <t>Fluktuation 40%</t>
  </si>
  <si>
    <t>Bruttolohnsumme 2014</t>
  </si>
  <si>
    <t>Beschäftigte in RG 2014</t>
  </si>
  <si>
    <t>Aufgelöste DV</t>
  </si>
  <si>
    <t>davon abgabenpflichtig</t>
  </si>
  <si>
    <t>abgabenpflichtig (70%)</t>
  </si>
  <si>
    <t>Auflöstungsabgabe</t>
  </si>
  <si>
    <t>Berechnung der Auflösungsabgabe im Gesamtschnitt der Branche (WKO vor Verhandlungen mit der Schiedskommission)</t>
  </si>
  <si>
    <t>Zehrgeld pro Tag</t>
  </si>
  <si>
    <t>Trennungszulage pro Tag</t>
  </si>
  <si>
    <t>Art des Unternehmens</t>
  </si>
  <si>
    <t>Daten für Kalkulation</t>
  </si>
  <si>
    <t>bis 17 Mitarbeiter</t>
  </si>
  <si>
    <t>bis 70 Mitarbeiter</t>
  </si>
  <si>
    <t>bis 250 Mitarbeiter</t>
  </si>
  <si>
    <t>ab 500 Mitarbeiter</t>
  </si>
  <si>
    <t>Ein Personen Unternehmen</t>
  </si>
  <si>
    <t>IESG Zuschlag</t>
  </si>
  <si>
    <t>Jahr 2015</t>
  </si>
  <si>
    <t>angenommen Deine Matrix geht von A1 bis G19</t>
  </si>
  <si>
    <t>Suchbegriff 1 ( für die Spalte)= in D22</t>
  </si>
  <si>
    <t>Suchbegriff2 (für die zeile) = in D23</t>
  </si>
  <si>
    <t>dann sieht das so aus</t>
  </si>
  <si>
    <t>SVERWEIS(D22;A2:G19;VERGLEICH(D23;A1:G1;0);FALSCH)</t>
  </si>
  <si>
    <t>Sonstige Arbeitsverhinderungen in Arbeitstagen</t>
  </si>
  <si>
    <t>Tage</t>
  </si>
  <si>
    <t>Risiko</t>
  </si>
  <si>
    <t>Dienstgeberabgabe (U-Bahnsteuer; nur in Wien)</t>
  </si>
  <si>
    <t>Benötigte einzustellende begünstigt Behinderte</t>
  </si>
  <si>
    <t>davon eingestellt</t>
  </si>
  <si>
    <t>Wert für Kalk</t>
  </si>
  <si>
    <t>in % von Lohn</t>
  </si>
  <si>
    <t>Kosten für eine Filiale (Miete, Betriebskosen, Personal, Material, ..)</t>
  </si>
  <si>
    <t>Kosten für Arbeitskleidung</t>
  </si>
  <si>
    <t>Anzahl pro Jahr</t>
  </si>
  <si>
    <t>Kosten für Objektleiter (Bruttokosten inkl. Nebenkosten pro Jahr)</t>
  </si>
  <si>
    <t>Maschinen &amp; Geräte (inkl. AFA, Reparaturaufwand, GeWiGü)</t>
  </si>
  <si>
    <t>Kostenstruktur (Kosten jeweils PRO JAHR)</t>
  </si>
  <si>
    <t>Reise und Fahrtkosten (nicht Fahrtkostenersatz)</t>
  </si>
  <si>
    <t>Telekommunikation &amp; EDV (Telefon, Internet, IT, …)</t>
  </si>
  <si>
    <t>Raummieten (Büro) inkl. Betriebskosten</t>
  </si>
  <si>
    <t>KfZ-Aufwand (Fuhrpark inkl. Finanzierungskosten, Leasing und Betrieb)</t>
  </si>
  <si>
    <t>Mietaufwand für Maschinen und Geräte</t>
  </si>
  <si>
    <t>Leasingaufwand (nicht für Fuhrpark)</t>
  </si>
  <si>
    <t>Provisionen an Dritte, Vermittlungsgebühren, Honorare</t>
  </si>
  <si>
    <t>Büromaterial und Drucksorten</t>
  </si>
  <si>
    <t>Fachliteratur und Zeitungen</t>
  </si>
  <si>
    <t>Werbung und Repräsentation (Marketing, Vertrieb, …)</t>
  </si>
  <si>
    <t>Versicherungen und Schadensfälle (Prämien und Schadenszahlungen)</t>
  </si>
  <si>
    <t>Mitgliedsbeiträge (Kammerumlage, sonstige Beiträge)</t>
  </si>
  <si>
    <t>Kosten für Vorabeiter</t>
  </si>
  <si>
    <t>Zinszahlungen</t>
  </si>
  <si>
    <t>Freiwilliger Sozialaufwand (zB Weihnachtsfeier, …)</t>
  </si>
  <si>
    <t>Detaileingabe:</t>
  </si>
  <si>
    <t>Gesamteingabe aller Kosten:</t>
  </si>
  <si>
    <t>Aus- und Weiterbildungskosten</t>
  </si>
  <si>
    <t>Gesamt-Umsatz in EUR/Jahr</t>
  </si>
  <si>
    <t>Unternehmensindividueller %-Aufschlag für NLZ</t>
  </si>
  <si>
    <t>davon Mitarbeiter &gt; 25 Jahre im Unternehmen (6 Wochen Urlaub)</t>
  </si>
  <si>
    <t>Anzahl der Mitarbeiter &gt; 25 Jahre im Unternehmen in %</t>
  </si>
  <si>
    <t>Anzahl Mitarbeiter in Abfertigung ALT</t>
  </si>
  <si>
    <t>Aufwendungen für Material und sonstige bezogene Leistungen</t>
  </si>
  <si>
    <t>Personalaufwand</t>
  </si>
  <si>
    <t>Krankenstandstage (Wert für Kalkulation)</t>
  </si>
  <si>
    <t>Krankenstand in Tagen (tatsächlicher kalkulatorischer Wert)</t>
  </si>
  <si>
    <t>Gewinnerwartung (in Prozent)</t>
  </si>
  <si>
    <t>Risikoaufschlag (Unternehmerisches Wagnis in Prozent)</t>
  </si>
  <si>
    <t>Abschreibungen &amp; Sonstigen Kosten/Gemeinkosten:</t>
  </si>
  <si>
    <t>Fahrtkostenersatz (Gesamtsumme in EUR)</t>
  </si>
  <si>
    <t>Beratungs- und Prüfungsaufwand
(Steuerberatung, WP, RA, Unternehmensberatung, …)</t>
  </si>
  <si>
    <t>Verwaltungskosten (Gehälter Innendienst, inkl. GF) - Bruttokosten
inkl. Lohnnebenkosten</t>
  </si>
  <si>
    <t>Sonstige Fehlzeiten und nicht verrechenbare Einsatzzeiten</t>
  </si>
  <si>
    <t>7a. Sonstige Fehlzeiten (Berufsschulzeit - Lehrlinge, Ausbildungen, …)</t>
  </si>
  <si>
    <t>laufendes Jahr (2016)</t>
  </si>
  <si>
    <t xml:space="preserve">Quelle: https://www.wko.at/Content.Node/branchen/oe/Chemische-Gewerbe-und-der-Denkmal-Fassaden-und-Gebaeudereiniger/Denkmal---Fassaden--und-Gebaeuderein/Lohnnebenkosten_DFG_Reiniger_Stmk_2015.pdf </t>
  </si>
  <si>
    <t>Quelle: http://feiertage-2016.at/</t>
  </si>
  <si>
    <t>Durchschnittswerte Stand: 2014</t>
  </si>
  <si>
    <t>keine Neuen Werte veröffentlicht</t>
  </si>
  <si>
    <t>Steigerung 2015</t>
  </si>
  <si>
    <t>Steigerung 2016</t>
  </si>
  <si>
    <t>Jahr 2016</t>
  </si>
  <si>
    <t>Werte 2015</t>
  </si>
  <si>
    <t>Höhe DZ 2016</t>
  </si>
  <si>
    <t xml:space="preserve">Definition und Quelle: </t>
  </si>
  <si>
    <t>https://www.wko.at/Content.Node/Service/Steuern/Lohnverrechnung/Vom-Brutto-zum-Netto/Dienstgeberabgabe_der_Gemeinde_Wien_%28DGA,_U-Bahn_Steuer%29.html</t>
  </si>
  <si>
    <t>Werte U-Bahnsteuer/Wien 2016</t>
  </si>
  <si>
    <t>Wert 2015</t>
  </si>
  <si>
    <t>Wert 2014</t>
  </si>
  <si>
    <t>Definition und Quelle:</t>
  </si>
  <si>
    <t>https://www.sozialversicherung.at/portal27/sec/portal/esvportal/content/contentWindow?contentid=10007.683914&amp;action=2&amp;viewmode=content</t>
  </si>
  <si>
    <t>Erhöhung zu 2014</t>
  </si>
  <si>
    <t>Erhöhung zu 2015</t>
  </si>
  <si>
    <t>IESG (Insolvenz-Entgeltsicherungs-Gesetz) - seit 01.01.2016 neuerlich gesenkt</t>
  </si>
  <si>
    <t>https://www.ris.bka.gv.at/Dokumente/BgblAuth/BGBLA_2015_II_375/BGBLA_2015_II_375.pdf</t>
  </si>
  <si>
    <t>Senkung des IESG Zuschlags von 0,45 % auf 0,35 % in BGBl II 2015/375 vom 24.11.2015</t>
  </si>
  <si>
    <t>Werte Sozialversicherung</t>
  </si>
  <si>
    <t>Betragsbestandteile</t>
  </si>
  <si>
    <t>Stand: 2016</t>
  </si>
  <si>
    <t>Arbeitslosenversicherung</t>
  </si>
  <si>
    <t>Dienstgeberbeitrag (DB)</t>
  </si>
  <si>
    <t>Werte bisher</t>
  </si>
  <si>
    <t>https://www.sozialversicherung.at/portal27/sec/portal/esvportal/content/contentWindow?contentid=10007.684180&amp;action=2&amp;viewmode=content</t>
  </si>
  <si>
    <t>Quelle (Aktuelle Werte):</t>
  </si>
  <si>
    <t>Version 2.0</t>
  </si>
  <si>
    <t>Stand per 09.01.2016</t>
  </si>
  <si>
    <t>Anpasung</t>
  </si>
  <si>
    <t>ab 250 Mitarbeiter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</si>
</sst>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quot;€&quot;\ * #,##0.00_-;_-&quot;€&quot;\ * &quot;-&quot;??_-;_-@_-"/>
    <numFmt numFmtId="43" formatCode="_-* #,##0.00_-;\-* #,##0.00_-;_-* &quot;-&quot;??_-;_-@_-"/>
    <numFmt numFmtId="164" formatCode="0.0%"/>
    <numFmt numFmtId="165" formatCode="0.0"/>
    <numFmt numFmtId="166" formatCode="_-[$€-C07]\ * #,##0.00_-;\-[$€-C07]\ * #,##0.00_-;_-[$€-C07]\ * &quot;-&quot;??_-;_-@_-"/>
    <numFmt numFmtId="167" formatCode="_-* #,##0.0000000000000000_-;\-* #,##0.0000000000000000_-;_-* &quot;-&quot;??_-;_-@_-"/>
  </numFmts>
  <fonts count="17"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sz val="10"/>
      <name val="Calibri"/>
      <family val="2"/>
      <scheme val="minor"/>
    </font>
    <font>
      <b/>
      <sz val="16"/>
      <name val="Calibri"/>
      <family val="2"/>
      <scheme val="minor"/>
    </font>
    <font>
      <sz val="10"/>
      <name val="Calibri"/>
      <family val="2"/>
      <scheme val="minor"/>
    </font>
    <font>
      <u/>
      <sz val="10"/>
      <name val="Calibri"/>
      <family val="2"/>
      <scheme val="minor"/>
    </font>
    <font>
      <b/>
      <sz val="14"/>
      <name val="Calibri"/>
      <family val="2"/>
      <scheme val="minor"/>
    </font>
    <font>
      <b/>
      <sz val="11"/>
      <name val="Calibri"/>
      <family val="2"/>
      <scheme val="minor"/>
    </font>
    <font>
      <sz val="11"/>
      <name val="Calibri"/>
      <family val="2"/>
      <scheme val="minor"/>
    </font>
    <font>
      <sz val="9"/>
      <color indexed="81"/>
      <name val="Tahoma"/>
      <family val="2"/>
    </font>
    <font>
      <b/>
      <sz val="9"/>
      <color indexed="81"/>
      <name val="Tahoma"/>
      <family val="2"/>
    </font>
    <font>
      <sz val="7"/>
      <color theme="1"/>
      <name val="Verdana"/>
      <family val="2"/>
    </font>
    <font>
      <b/>
      <sz val="11"/>
      <color rgb="FFFF0000"/>
      <name val="Calibri"/>
      <family val="2"/>
      <scheme val="minor"/>
    </font>
    <font>
      <u/>
      <sz val="11"/>
      <color theme="10"/>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50"/>
        <bgColor indexed="64"/>
      </patternFill>
    </fill>
    <fill>
      <patternFill patternType="solid">
        <fgColor rgb="FF00FF0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6" fillId="0" borderId="0" applyNumberFormat="0" applyFill="0" applyBorder="0" applyAlignment="0" applyProtection="0"/>
  </cellStyleXfs>
  <cellXfs count="291">
    <xf numFmtId="0" fontId="0" fillId="0" borderId="0" xfId="0"/>
    <xf numFmtId="0" fontId="2" fillId="0" borderId="0" xfId="0" applyFont="1"/>
    <xf numFmtId="0" fontId="0" fillId="3" borderId="0" xfId="0" applyFill="1"/>
    <xf numFmtId="0" fontId="3" fillId="0" borderId="0" xfId="0" applyFont="1"/>
    <xf numFmtId="43" fontId="0" fillId="0" borderId="0" xfId="1" applyFont="1" applyFill="1"/>
    <xf numFmtId="10" fontId="0" fillId="0" borderId="0" xfId="2" applyNumberFormat="1" applyFont="1" applyFill="1"/>
    <xf numFmtId="43" fontId="0" fillId="0" borderId="0" xfId="1" applyFont="1"/>
    <xf numFmtId="0" fontId="0" fillId="0" borderId="0" xfId="0" applyFont="1" applyProtection="1"/>
    <xf numFmtId="0" fontId="0" fillId="8" borderId="0" xfId="0" applyFill="1"/>
    <xf numFmtId="0" fontId="4" fillId="0" borderId="0" xfId="0" applyFont="1"/>
    <xf numFmtId="0" fontId="0" fillId="0" borderId="0" xfId="0" applyFont="1"/>
    <xf numFmtId="0" fontId="0" fillId="0" borderId="0" xfId="0" applyAlignment="1">
      <alignment wrapText="1"/>
    </xf>
    <xf numFmtId="43" fontId="0" fillId="0" borderId="0" xfId="0" applyNumberFormat="1"/>
    <xf numFmtId="0" fontId="2" fillId="0" borderId="0" xfId="0" applyFont="1" applyAlignment="1">
      <alignment horizontal="left" vertical="center"/>
    </xf>
    <xf numFmtId="10" fontId="0" fillId="0" borderId="0" xfId="2" applyNumberFormat="1" applyFont="1"/>
    <xf numFmtId="0" fontId="0" fillId="0" borderId="0" xfId="0" applyAlignment="1">
      <alignment horizontal="center" vertical="center"/>
    </xf>
    <xf numFmtId="0" fontId="0" fillId="0" borderId="0" xfId="0" applyAlignment="1">
      <alignment vertical="center" wrapText="1"/>
    </xf>
    <xf numFmtId="10" fontId="0" fillId="0" borderId="0" xfId="2" applyNumberFormat="1" applyFont="1" applyAlignment="1">
      <alignment wrapText="1"/>
    </xf>
    <xf numFmtId="10" fontId="0" fillId="0" borderId="0" xfId="2" applyNumberFormat="1" applyFont="1" applyAlignment="1">
      <alignment vertical="center"/>
    </xf>
    <xf numFmtId="10" fontId="2" fillId="0" borderId="0" xfId="2" applyNumberFormat="1" applyFont="1"/>
    <xf numFmtId="10" fontId="4" fillId="0" borderId="0" xfId="2" applyNumberFormat="1" applyFont="1"/>
    <xf numFmtId="10" fontId="0" fillId="0" borderId="0" xfId="0" applyNumberFormat="1" applyAlignment="1">
      <alignment horizontal="center" vertical="center"/>
    </xf>
    <xf numFmtId="43" fontId="2" fillId="0" borderId="0" xfId="1" applyFont="1"/>
    <xf numFmtId="0" fontId="0" fillId="0" borderId="0" xfId="0" applyFill="1"/>
    <xf numFmtId="43" fontId="4" fillId="0" borderId="0" xfId="1" applyFont="1"/>
    <xf numFmtId="10" fontId="0" fillId="0" borderId="0" xfId="1" applyNumberFormat="1" applyFont="1"/>
    <xf numFmtId="9" fontId="0" fillId="0" borderId="0" xfId="2" applyFont="1"/>
    <xf numFmtId="9" fontId="4" fillId="0" borderId="0" xfId="2" applyFont="1"/>
    <xf numFmtId="0" fontId="2" fillId="3" borderId="0" xfId="0" applyFont="1" applyFill="1"/>
    <xf numFmtId="43" fontId="2" fillId="0" borderId="0" xfId="1" applyFont="1" applyAlignment="1">
      <alignment horizontal="center"/>
    </xf>
    <xf numFmtId="10" fontId="0" fillId="3" borderId="0" xfId="2" applyNumberFormat="1" applyFont="1" applyFill="1"/>
    <xf numFmtId="9" fontId="0" fillId="0" borderId="0" xfId="0" applyNumberFormat="1"/>
    <xf numFmtId="0" fontId="0" fillId="10" borderId="0" xfId="0" applyFill="1"/>
    <xf numFmtId="43" fontId="2" fillId="10" borderId="0" xfId="1" applyFont="1" applyFill="1" applyAlignment="1">
      <alignment horizontal="center"/>
    </xf>
    <xf numFmtId="10" fontId="0" fillId="0" borderId="0" xfId="0" applyNumberFormat="1"/>
    <xf numFmtId="0" fontId="2" fillId="10" borderId="0" xfId="0" applyFont="1" applyFill="1"/>
    <xf numFmtId="10" fontId="1" fillId="0" borderId="0" xfId="2" applyNumberFormat="1" applyFont="1"/>
    <xf numFmtId="10" fontId="0" fillId="10" borderId="0" xfId="2" applyNumberFormat="1" applyFont="1" applyFill="1"/>
    <xf numFmtId="9" fontId="2" fillId="10" borderId="0" xfId="2" applyFont="1" applyFill="1"/>
    <xf numFmtId="10" fontId="2" fillId="10" borderId="0" xfId="2" applyNumberFormat="1" applyFont="1" applyFill="1"/>
    <xf numFmtId="0" fontId="2" fillId="3" borderId="0" xfId="0" applyFont="1" applyFill="1" applyAlignment="1">
      <alignment horizontal="center"/>
    </xf>
    <xf numFmtId="10" fontId="0" fillId="11" borderId="0" xfId="2" applyNumberFormat="1" applyFont="1" applyFill="1"/>
    <xf numFmtId="0" fontId="2" fillId="0" borderId="0" xfId="0" applyFont="1" applyAlignment="1">
      <alignment horizontal="center"/>
    </xf>
    <xf numFmtId="0" fontId="2" fillId="5" borderId="1" xfId="0" applyFont="1" applyFill="1" applyBorder="1" applyAlignment="1" applyProtection="1">
      <alignment horizontal="center" wrapText="1"/>
    </xf>
    <xf numFmtId="0" fontId="2" fillId="5" borderId="2" xfId="0" applyFont="1" applyFill="1" applyBorder="1" applyAlignment="1" applyProtection="1">
      <alignment horizontal="center" wrapText="1"/>
    </xf>
    <xf numFmtId="4" fontId="2" fillId="5" borderId="5" xfId="0" applyNumberFormat="1" applyFont="1" applyFill="1" applyBorder="1" applyAlignment="1" applyProtection="1">
      <alignment horizontal="center" vertical="center"/>
    </xf>
    <xf numFmtId="4" fontId="2" fillId="5" borderId="6" xfId="0" applyNumberFormat="1" applyFont="1" applyFill="1" applyBorder="1" applyAlignment="1" applyProtection="1">
      <alignment horizontal="center" vertical="center"/>
    </xf>
    <xf numFmtId="0" fontId="2" fillId="5" borderId="3" xfId="0" applyFont="1" applyFill="1" applyBorder="1" applyAlignment="1" applyProtection="1">
      <alignment horizontal="center" vertical="center"/>
    </xf>
    <xf numFmtId="0" fontId="2" fillId="5" borderId="4" xfId="0" applyFont="1" applyFill="1" applyBorder="1" applyAlignment="1" applyProtection="1">
      <alignment horizontal="center" vertical="center"/>
    </xf>
    <xf numFmtId="10" fontId="2" fillId="5" borderId="4" xfId="0" applyNumberFormat="1" applyFont="1" applyFill="1" applyBorder="1" applyAlignment="1" applyProtection="1">
      <alignment horizontal="right"/>
    </xf>
    <xf numFmtId="4" fontId="2" fillId="0" borderId="0" xfId="0" applyNumberFormat="1" applyFont="1" applyFill="1" applyBorder="1" applyAlignment="1" applyProtection="1">
      <alignment horizontal="center" vertical="center"/>
    </xf>
    <xf numFmtId="10" fontId="2" fillId="5" borderId="3" xfId="0" applyNumberFormat="1" applyFont="1" applyFill="1" applyBorder="1" applyAlignment="1" applyProtection="1">
      <alignment horizontal="right"/>
    </xf>
    <xf numFmtId="10" fontId="2" fillId="0" borderId="3" xfId="0" applyNumberFormat="1" applyFont="1" applyBorder="1" applyAlignment="1" applyProtection="1">
      <alignment horizontal="right"/>
    </xf>
    <xf numFmtId="10" fontId="2" fillId="0" borderId="4" xfId="0" applyNumberFormat="1" applyFont="1" applyBorder="1" applyAlignment="1" applyProtection="1">
      <alignment horizontal="right"/>
    </xf>
    <xf numFmtId="4" fontId="0" fillId="0" borderId="3" xfId="0" applyNumberFormat="1" applyFont="1" applyFill="1" applyBorder="1" applyAlignment="1" applyProtection="1">
      <alignment horizontal="right"/>
    </xf>
    <xf numFmtId="10" fontId="0" fillId="0" borderId="3" xfId="0" applyNumberFormat="1" applyFont="1" applyFill="1" applyBorder="1" applyAlignment="1" applyProtection="1">
      <alignment horizontal="right"/>
    </xf>
    <xf numFmtId="10" fontId="0" fillId="0" borderId="15" xfId="0" applyNumberFormat="1" applyFont="1" applyFill="1" applyBorder="1" applyAlignment="1" applyProtection="1">
      <alignment horizontal="right"/>
    </xf>
    <xf numFmtId="10" fontId="2" fillId="0" borderId="15" xfId="0" applyNumberFormat="1" applyFont="1" applyBorder="1" applyAlignment="1" applyProtection="1">
      <alignment horizontal="right"/>
    </xf>
    <xf numFmtId="0" fontId="2" fillId="0" borderId="13" xfId="0" applyFont="1" applyBorder="1" applyAlignment="1" applyProtection="1">
      <alignment horizontal="center"/>
    </xf>
    <xf numFmtId="10" fontId="2" fillId="0" borderId="13" xfId="0" applyNumberFormat="1" applyFont="1" applyBorder="1" applyAlignment="1" applyProtection="1">
      <alignment horizontal="center"/>
    </xf>
    <xf numFmtId="10" fontId="0" fillId="0" borderId="25" xfId="0" applyNumberFormat="1" applyFont="1" applyFill="1" applyBorder="1" applyAlignment="1" applyProtection="1">
      <alignment horizontal="right"/>
    </xf>
    <xf numFmtId="2" fontId="0" fillId="0" borderId="0" xfId="0" applyNumberFormat="1"/>
    <xf numFmtId="10" fontId="0" fillId="0" borderId="3" xfId="0" applyNumberFormat="1" applyFont="1" applyBorder="1" applyAlignment="1" applyProtection="1">
      <alignment horizontal="right"/>
    </xf>
    <xf numFmtId="0" fontId="0" fillId="0" borderId="3" xfId="0" applyFont="1" applyBorder="1" applyAlignment="1" applyProtection="1">
      <alignment horizontal="left" wrapText="1"/>
    </xf>
    <xf numFmtId="0" fontId="0" fillId="0" borderId="3"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5" borderId="3" xfId="0" applyFont="1" applyFill="1" applyBorder="1" applyAlignment="1" applyProtection="1">
      <alignment horizontal="center" vertical="center"/>
    </xf>
    <xf numFmtId="0" fontId="0" fillId="0" borderId="0" xfId="0" applyFont="1" applyFill="1" applyBorder="1" applyProtection="1"/>
    <xf numFmtId="0" fontId="0" fillId="0" borderId="0" xfId="0" applyFont="1" applyFill="1" applyBorder="1"/>
    <xf numFmtId="0" fontId="0" fillId="0" borderId="3" xfId="0" applyFont="1" applyBorder="1" applyAlignment="1" applyProtection="1">
      <alignment horizontal="center" wrapText="1"/>
    </xf>
    <xf numFmtId="10" fontId="0" fillId="0" borderId="4" xfId="0" applyNumberFormat="1" applyFont="1" applyBorder="1" applyAlignment="1" applyProtection="1">
      <alignment horizontal="right"/>
    </xf>
    <xf numFmtId="2" fontId="0" fillId="0" borderId="3" xfId="0" applyNumberFormat="1" applyFont="1" applyBorder="1" applyAlignment="1" applyProtection="1">
      <alignment horizontal="right"/>
    </xf>
    <xf numFmtId="0" fontId="0" fillId="5" borderId="5" xfId="0" applyFont="1" applyFill="1" applyBorder="1" applyAlignment="1" applyProtection="1">
      <alignment horizontal="center" wrapText="1"/>
    </xf>
    <xf numFmtId="2" fontId="0" fillId="5" borderId="5" xfId="0" applyNumberFormat="1" applyFont="1" applyFill="1" applyBorder="1" applyAlignment="1" applyProtection="1">
      <alignment horizontal="right"/>
    </xf>
    <xf numFmtId="164" fontId="0" fillId="5" borderId="5" xfId="0" applyNumberFormat="1" applyFont="1" applyFill="1" applyBorder="1" applyAlignment="1" applyProtection="1">
      <alignment horizontal="center"/>
    </xf>
    <xf numFmtId="164" fontId="0" fillId="5" borderId="6" xfId="0" applyNumberFormat="1" applyFont="1" applyFill="1" applyBorder="1" applyAlignment="1" applyProtection="1">
      <alignment horizontal="center"/>
    </xf>
    <xf numFmtId="0" fontId="0" fillId="0" borderId="17" xfId="0" applyFont="1" applyBorder="1" applyAlignment="1" applyProtection="1">
      <alignment horizontal="center" wrapText="1"/>
    </xf>
    <xf numFmtId="0" fontId="0" fillId="0" borderId="3" xfId="0" applyFont="1" applyFill="1" applyBorder="1" applyAlignment="1" applyProtection="1">
      <alignment horizontal="center" wrapText="1"/>
    </xf>
    <xf numFmtId="0" fontId="0" fillId="0" borderId="3" xfId="0" applyFont="1" applyBorder="1" applyAlignment="1" applyProtection="1">
      <alignment horizontal="center"/>
    </xf>
    <xf numFmtId="0" fontId="0" fillId="0" borderId="4" xfId="0" applyFont="1" applyBorder="1"/>
    <xf numFmtId="0" fontId="0" fillId="0" borderId="5" xfId="0" applyFont="1" applyBorder="1" applyAlignment="1" applyProtection="1">
      <alignment horizontal="center" wrapText="1"/>
    </xf>
    <xf numFmtId="2" fontId="0" fillId="0" borderId="5" xfId="0" applyNumberFormat="1" applyFont="1" applyBorder="1" applyAlignment="1" applyProtection="1">
      <alignment horizontal="right"/>
    </xf>
    <xf numFmtId="0" fontId="0" fillId="0" borderId="5" xfId="0" applyFont="1" applyBorder="1" applyAlignment="1" applyProtection="1">
      <alignment horizontal="center"/>
    </xf>
    <xf numFmtId="0" fontId="0" fillId="0" borderId="6" xfId="0" applyFont="1" applyBorder="1"/>
    <xf numFmtId="0" fontId="0" fillId="0" borderId="29" xfId="0" applyFont="1" applyFill="1" applyBorder="1" applyAlignment="1" applyProtection="1">
      <alignment horizontal="center" wrapText="1"/>
    </xf>
    <xf numFmtId="10" fontId="0" fillId="0" borderId="13" xfId="0" applyNumberFormat="1" applyFont="1" applyBorder="1" applyAlignment="1" applyProtection="1">
      <alignment horizontal="right"/>
    </xf>
    <xf numFmtId="0" fontId="0" fillId="0" borderId="18" xfId="0" applyFont="1" applyFill="1" applyBorder="1" applyAlignment="1" applyProtection="1">
      <alignment horizontal="center" wrapText="1"/>
    </xf>
    <xf numFmtId="0" fontId="0" fillId="0" borderId="13" xfId="0" applyFont="1" applyBorder="1" applyAlignment="1" applyProtection="1">
      <alignment wrapText="1"/>
    </xf>
    <xf numFmtId="0" fontId="0" fillId="0" borderId="13" xfId="0" applyFont="1" applyBorder="1" applyProtection="1"/>
    <xf numFmtId="0" fontId="0" fillId="0" borderId="13" xfId="0" applyFont="1" applyBorder="1"/>
    <xf numFmtId="0" fontId="0" fillId="0" borderId="13" xfId="0" applyFont="1" applyBorder="1" applyAlignment="1" applyProtection="1">
      <alignment horizontal="right" wrapText="1"/>
    </xf>
    <xf numFmtId="164" fontId="0" fillId="0" borderId="25" xfId="0" applyNumberFormat="1" applyFont="1" applyBorder="1" applyAlignment="1" applyProtection="1">
      <alignment horizontal="right"/>
    </xf>
    <xf numFmtId="0" fontId="0" fillId="0" borderId="25" xfId="0" applyFont="1" applyBorder="1" applyProtection="1"/>
    <xf numFmtId="0" fontId="0" fillId="0" borderId="25" xfId="0" applyFont="1" applyBorder="1"/>
    <xf numFmtId="2" fontId="0" fillId="0" borderId="0" xfId="0" applyNumberFormat="1" applyFont="1"/>
    <xf numFmtId="0" fontId="0" fillId="0" borderId="15" xfId="0" applyFont="1" applyBorder="1" applyAlignment="1" applyProtection="1">
      <alignment horizontal="right" wrapText="1"/>
    </xf>
    <xf numFmtId="10" fontId="0" fillId="0" borderId="15" xfId="0" applyNumberFormat="1" applyFont="1" applyBorder="1" applyAlignment="1" applyProtection="1">
      <alignment horizontal="right"/>
    </xf>
    <xf numFmtId="2" fontId="0" fillId="0" borderId="15" xfId="0" applyNumberFormat="1" applyFont="1" applyFill="1" applyBorder="1" applyProtection="1"/>
    <xf numFmtId="0" fontId="0" fillId="0" borderId="13" xfId="0" applyFont="1" applyBorder="1" applyAlignment="1" applyProtection="1">
      <alignment horizontal="center"/>
    </xf>
    <xf numFmtId="0" fontId="0" fillId="0" borderId="10" xfId="0" applyFont="1" applyBorder="1"/>
    <xf numFmtId="0" fontId="0" fillId="0" borderId="11" xfId="0" applyFont="1" applyBorder="1"/>
    <xf numFmtId="10" fontId="0" fillId="0" borderId="13" xfId="0" applyNumberFormat="1" applyFont="1" applyFill="1" applyBorder="1" applyAlignment="1" applyProtection="1">
      <alignment horizontal="right"/>
    </xf>
    <xf numFmtId="0" fontId="0" fillId="0" borderId="25" xfId="0" applyFont="1" applyBorder="1" applyAlignment="1" applyProtection="1">
      <alignment wrapText="1"/>
    </xf>
    <xf numFmtId="10" fontId="0" fillId="0" borderId="25" xfId="0" applyNumberFormat="1" applyFont="1" applyBorder="1" applyAlignment="1" applyProtection="1">
      <alignment horizontal="right"/>
    </xf>
    <xf numFmtId="0" fontId="0" fillId="0" borderId="15" xfId="0" applyFont="1" applyBorder="1" applyAlignment="1" applyProtection="1">
      <alignment wrapText="1"/>
    </xf>
    <xf numFmtId="0" fontId="0" fillId="0" borderId="15" xfId="0" applyFont="1" applyBorder="1" applyAlignment="1" applyProtection="1">
      <alignment horizontal="right"/>
    </xf>
    <xf numFmtId="10" fontId="0" fillId="0" borderId="0" xfId="0" applyNumberFormat="1" applyFont="1"/>
    <xf numFmtId="0" fontId="5" fillId="0" borderId="0" xfId="0" applyFont="1" applyFill="1" applyBorder="1" applyAlignment="1" applyProtection="1">
      <alignment vertical="center" wrapText="1"/>
    </xf>
    <xf numFmtId="0" fontId="5" fillId="0" borderId="0" xfId="0" applyFont="1" applyProtection="1"/>
    <xf numFmtId="0" fontId="5" fillId="0" borderId="3" xfId="0" applyFont="1" applyBorder="1" applyAlignment="1" applyProtection="1">
      <alignment horizontal="center" wrapText="1"/>
    </xf>
    <xf numFmtId="2" fontId="5" fillId="0" borderId="3" xfId="0" applyNumberFormat="1" applyFont="1" applyBorder="1" applyAlignment="1" applyProtection="1">
      <alignment horizontal="right"/>
    </xf>
    <xf numFmtId="0" fontId="5" fillId="0" borderId="3" xfId="0" applyFont="1" applyBorder="1" applyAlignment="1" applyProtection="1">
      <alignment horizontal="center"/>
    </xf>
    <xf numFmtId="2" fontId="5" fillId="0" borderId="3" xfId="0" applyNumberFormat="1" applyFont="1" applyBorder="1" applyProtection="1"/>
    <xf numFmtId="0" fontId="5" fillId="0" borderId="4" xfId="0" applyFont="1" applyBorder="1" applyAlignment="1" applyProtection="1">
      <alignment horizontal="center"/>
    </xf>
    <xf numFmtId="2" fontId="7" fillId="0" borderId="3" xfId="0" applyNumberFormat="1" applyFont="1" applyBorder="1" applyProtection="1"/>
    <xf numFmtId="0" fontId="5" fillId="2" borderId="3" xfId="0" applyFont="1" applyFill="1" applyBorder="1" applyAlignment="1" applyProtection="1">
      <alignment horizontal="center" wrapText="1"/>
    </xf>
    <xf numFmtId="2" fontId="5" fillId="2" borderId="3" xfId="0" applyNumberFormat="1" applyFont="1" applyFill="1" applyBorder="1" applyAlignment="1" applyProtection="1">
      <alignment horizontal="right"/>
    </xf>
    <xf numFmtId="10" fontId="5" fillId="2" borderId="3" xfId="0" applyNumberFormat="1" applyFont="1" applyFill="1" applyBorder="1" applyAlignment="1" applyProtection="1">
      <alignment horizontal="right"/>
    </xf>
    <xf numFmtId="10" fontId="5" fillId="2" borderId="4" xfId="0" applyNumberFormat="1" applyFont="1" applyFill="1" applyBorder="1" applyAlignment="1" applyProtection="1">
      <alignment horizontal="right"/>
    </xf>
    <xf numFmtId="0" fontId="5" fillId="5" borderId="3" xfId="0" applyFont="1" applyFill="1" applyBorder="1" applyAlignment="1" applyProtection="1">
      <alignment horizontal="center" wrapText="1"/>
    </xf>
    <xf numFmtId="2" fontId="5" fillId="5" borderId="3" xfId="0" applyNumberFormat="1" applyFont="1" applyFill="1" applyBorder="1" applyAlignment="1" applyProtection="1">
      <alignment horizontal="right"/>
    </xf>
    <xf numFmtId="4" fontId="5" fillId="5" borderId="3" xfId="0" applyNumberFormat="1" applyFont="1" applyFill="1" applyBorder="1" applyAlignment="1" applyProtection="1">
      <alignment horizontal="right"/>
    </xf>
    <xf numFmtId="164" fontId="5" fillId="5" borderId="3" xfId="0" applyNumberFormat="1" applyFont="1" applyFill="1" applyBorder="1" applyAlignment="1" applyProtection="1">
      <alignment horizontal="center"/>
    </xf>
    <xf numFmtId="164" fontId="5" fillId="5" borderId="4" xfId="0" applyNumberFormat="1" applyFont="1" applyFill="1" applyBorder="1" applyAlignment="1" applyProtection="1">
      <alignment horizontal="center"/>
    </xf>
    <xf numFmtId="2" fontId="7" fillId="0" borderId="3" xfId="0" applyNumberFormat="1" applyFont="1" applyFill="1" applyBorder="1" applyAlignment="1" applyProtection="1">
      <alignment horizontal="right"/>
    </xf>
    <xf numFmtId="4" fontId="7" fillId="0" borderId="13" xfId="0" applyNumberFormat="1" applyFont="1" applyFill="1" applyBorder="1" applyAlignment="1" applyProtection="1">
      <alignment horizontal="right"/>
    </xf>
    <xf numFmtId="4" fontId="7" fillId="0" borderId="15" xfId="0" applyNumberFormat="1" applyFont="1" applyFill="1" applyBorder="1" applyAlignment="1" applyProtection="1">
      <alignment horizontal="right"/>
    </xf>
    <xf numFmtId="2" fontId="7" fillId="0" borderId="24" xfId="0" applyNumberFormat="1" applyFont="1" applyFill="1" applyBorder="1" applyAlignment="1" applyProtection="1">
      <alignment horizontal="right"/>
    </xf>
    <xf numFmtId="165" fontId="7" fillId="0" borderId="25" xfId="0" applyNumberFormat="1" applyFont="1" applyFill="1" applyBorder="1" applyAlignment="1" applyProtection="1">
      <alignment horizontal="right"/>
    </xf>
    <xf numFmtId="2" fontId="7" fillId="0" borderId="23" xfId="0" applyNumberFormat="1" applyFont="1" applyFill="1" applyBorder="1" applyAlignment="1" applyProtection="1">
      <alignment horizontal="right"/>
    </xf>
    <xf numFmtId="0" fontId="7" fillId="0" borderId="15" xfId="0" applyFont="1" applyFill="1" applyBorder="1" applyAlignment="1" applyProtection="1">
      <alignment horizontal="left" wrapText="1"/>
    </xf>
    <xf numFmtId="2" fontId="7" fillId="0" borderId="15" xfId="0" applyNumberFormat="1" applyFont="1" applyFill="1" applyBorder="1" applyAlignment="1" applyProtection="1">
      <alignment horizontal="right"/>
    </xf>
    <xf numFmtId="10" fontId="7" fillId="0" borderId="15" xfId="0" applyNumberFormat="1" applyFont="1" applyFill="1" applyBorder="1" applyAlignment="1" applyProtection="1">
      <alignment horizontal="right"/>
    </xf>
    <xf numFmtId="10" fontId="5" fillId="0" borderId="15" xfId="0" applyNumberFormat="1" applyFont="1" applyFill="1" applyBorder="1" applyAlignment="1" applyProtection="1">
      <alignment horizontal="right"/>
    </xf>
    <xf numFmtId="0" fontId="7" fillId="0" borderId="13" xfId="0" applyFont="1" applyBorder="1" applyAlignment="1" applyProtection="1">
      <alignment vertical="center" wrapText="1"/>
    </xf>
    <xf numFmtId="0" fontId="7" fillId="0" borderId="12" xfId="0" applyFont="1" applyBorder="1" applyAlignment="1" applyProtection="1">
      <alignment vertical="center" wrapText="1"/>
    </xf>
    <xf numFmtId="0" fontId="8" fillId="0" borderId="10" xfId="0" applyFont="1" applyBorder="1" applyAlignment="1" applyProtection="1">
      <alignment wrapText="1"/>
    </xf>
    <xf numFmtId="0" fontId="0" fillId="0" borderId="11" xfId="0" applyFont="1" applyBorder="1" applyAlignment="1" applyProtection="1">
      <alignment horizontal="center" wrapText="1"/>
    </xf>
    <xf numFmtId="0" fontId="0" fillId="0" borderId="13" xfId="0" applyFont="1" applyFill="1" applyBorder="1" applyAlignment="1" applyProtection="1">
      <alignment horizontal="center" wrapText="1"/>
    </xf>
    <xf numFmtId="0" fontId="0" fillId="0" borderId="15" xfId="0" applyFont="1" applyFill="1" applyBorder="1" applyAlignment="1" applyProtection="1">
      <alignment horizontal="center" wrapText="1"/>
    </xf>
    <xf numFmtId="0" fontId="0" fillId="0" borderId="13" xfId="0" applyFont="1" applyFill="1" applyBorder="1" applyAlignment="1" applyProtection="1">
      <alignment wrapText="1"/>
    </xf>
    <xf numFmtId="165" fontId="0" fillId="0" borderId="13" xfId="0" applyNumberFormat="1" applyFont="1" applyBorder="1" applyAlignment="1" applyProtection="1">
      <alignment horizontal="right"/>
    </xf>
    <xf numFmtId="0" fontId="0" fillId="0" borderId="25" xfId="0" applyFont="1" applyBorder="1" applyAlignment="1" applyProtection="1">
      <alignment horizontal="center"/>
    </xf>
    <xf numFmtId="164" fontId="0" fillId="0" borderId="25" xfId="0" applyNumberFormat="1" applyFont="1" applyFill="1" applyBorder="1" applyAlignment="1" applyProtection="1">
      <alignment wrapText="1"/>
    </xf>
    <xf numFmtId="164" fontId="0" fillId="0" borderId="13" xfId="0" applyNumberFormat="1" applyFont="1" applyBorder="1" applyAlignment="1" applyProtection="1">
      <alignment horizontal="right"/>
    </xf>
    <xf numFmtId="0" fontId="0" fillId="0" borderId="25" xfId="0" applyFont="1" applyBorder="1" applyAlignment="1" applyProtection="1">
      <alignment horizontal="right"/>
    </xf>
    <xf numFmtId="10" fontId="5" fillId="0" borderId="25" xfId="0" applyNumberFormat="1" applyFont="1" applyFill="1" applyBorder="1" applyAlignment="1" applyProtection="1">
      <alignment horizontal="right"/>
    </xf>
    <xf numFmtId="0" fontId="0" fillId="0" borderId="25" xfId="0" applyFont="1" applyBorder="1" applyAlignment="1" applyProtection="1">
      <alignment horizontal="center" wrapText="1"/>
    </xf>
    <xf numFmtId="10" fontId="0" fillId="0" borderId="25" xfId="0" applyNumberFormat="1" applyFont="1" applyBorder="1" applyAlignment="1" applyProtection="1">
      <alignment horizontal="right" wrapText="1"/>
    </xf>
    <xf numFmtId="0" fontId="0" fillId="0" borderId="10" xfId="0" applyFont="1" applyFill="1" applyBorder="1" applyAlignment="1" applyProtection="1">
      <alignment wrapText="1"/>
    </xf>
    <xf numFmtId="0" fontId="0" fillId="0" borderId="10" xfId="0" applyFont="1" applyFill="1" applyBorder="1" applyAlignment="1" applyProtection="1">
      <alignment horizontal="center" wrapText="1"/>
    </xf>
    <xf numFmtId="0" fontId="0" fillId="0" borderId="3" xfId="0" applyFont="1" applyFill="1" applyBorder="1" applyAlignment="1" applyProtection="1">
      <alignment horizontal="right"/>
    </xf>
    <xf numFmtId="10" fontId="5" fillId="0" borderId="3" xfId="0" applyNumberFormat="1" applyFont="1" applyFill="1" applyBorder="1" applyAlignment="1" applyProtection="1">
      <alignment horizontal="right"/>
    </xf>
    <xf numFmtId="0" fontId="0" fillId="0" borderId="3" xfId="0" applyFont="1" applyFill="1" applyBorder="1" applyProtection="1"/>
    <xf numFmtId="10" fontId="5" fillId="0" borderId="3" xfId="0" applyNumberFormat="1" applyFont="1" applyFill="1" applyBorder="1" applyAlignment="1" applyProtection="1">
      <alignment horizontal="right" vertical="center"/>
    </xf>
    <xf numFmtId="0" fontId="10" fillId="0" borderId="12" xfId="0" applyFont="1" applyFill="1" applyBorder="1" applyAlignment="1" applyProtection="1">
      <alignment wrapText="1"/>
    </xf>
    <xf numFmtId="0" fontId="10" fillId="0" borderId="12" xfId="0" applyFont="1" applyFill="1" applyBorder="1" applyAlignment="1" applyProtection="1"/>
    <xf numFmtId="0" fontId="5" fillId="0" borderId="10" xfId="0" applyFont="1" applyFill="1" applyBorder="1" applyAlignment="1" applyProtection="1">
      <alignment wrapText="1"/>
    </xf>
    <xf numFmtId="0" fontId="5" fillId="0" borderId="11" xfId="0" applyFont="1" applyFill="1" applyBorder="1" applyAlignment="1" applyProtection="1">
      <alignment horizontal="center" wrapText="1"/>
    </xf>
    <xf numFmtId="10" fontId="0" fillId="0" borderId="3" xfId="0" applyNumberFormat="1" applyFont="1" applyFill="1" applyBorder="1" applyProtection="1"/>
    <xf numFmtId="0" fontId="11" fillId="0" borderId="12" xfId="0" applyFont="1" applyFill="1" applyBorder="1" applyAlignment="1" applyProtection="1"/>
    <xf numFmtId="10" fontId="5" fillId="0" borderId="11" xfId="0" applyNumberFormat="1" applyFont="1" applyFill="1" applyBorder="1" applyAlignment="1" applyProtection="1">
      <alignment horizontal="right"/>
    </xf>
    <xf numFmtId="10" fontId="5" fillId="0" borderId="10" xfId="0" applyNumberFormat="1" applyFont="1" applyFill="1" applyBorder="1" applyAlignment="1" applyProtection="1">
      <alignment horizontal="center" wrapText="1"/>
    </xf>
    <xf numFmtId="10" fontId="5" fillId="0" borderId="13" xfId="0" applyNumberFormat="1" applyFont="1" applyFill="1" applyBorder="1" applyAlignment="1" applyProtection="1">
      <alignment horizontal="right"/>
    </xf>
    <xf numFmtId="0" fontId="0" fillId="0" borderId="13" xfId="0" applyFont="1" applyFill="1" applyBorder="1" applyProtection="1"/>
    <xf numFmtId="0" fontId="0" fillId="0" borderId="25" xfId="0" applyFont="1" applyFill="1" applyBorder="1" applyProtection="1"/>
    <xf numFmtId="0" fontId="0" fillId="0" borderId="15" xfId="0" applyFont="1" applyFill="1" applyBorder="1" applyProtection="1"/>
    <xf numFmtId="0" fontId="0" fillId="0" borderId="13" xfId="0" applyFont="1" applyFill="1" applyBorder="1"/>
    <xf numFmtId="0" fontId="0" fillId="0" borderId="25" xfId="0" applyFont="1" applyFill="1" applyBorder="1"/>
    <xf numFmtId="0" fontId="0" fillId="0" borderId="15" xfId="0" applyFont="1" applyFill="1" applyBorder="1"/>
    <xf numFmtId="0" fontId="11" fillId="0" borderId="13" xfId="0" applyFont="1" applyFill="1" applyBorder="1" applyAlignment="1" applyProtection="1"/>
    <xf numFmtId="0" fontId="11" fillId="0" borderId="25" xfId="0" applyFont="1" applyFill="1" applyBorder="1" applyAlignment="1" applyProtection="1"/>
    <xf numFmtId="0" fontId="11" fillId="0" borderId="15" xfId="0" applyFont="1" applyFill="1" applyBorder="1" applyAlignment="1" applyProtection="1"/>
    <xf numFmtId="0" fontId="5" fillId="0" borderId="13" xfId="0" applyFont="1" applyFill="1" applyBorder="1" applyAlignment="1" applyProtection="1">
      <alignment wrapText="1"/>
    </xf>
    <xf numFmtId="0" fontId="5" fillId="0" borderId="25" xfId="0" applyFont="1" applyFill="1" applyBorder="1" applyAlignment="1" applyProtection="1">
      <alignment wrapText="1"/>
    </xf>
    <xf numFmtId="0" fontId="5" fillId="0" borderId="15" xfId="0" applyFont="1" applyFill="1" applyBorder="1" applyAlignment="1" applyProtection="1">
      <alignment wrapText="1"/>
    </xf>
    <xf numFmtId="0" fontId="9" fillId="5" borderId="12" xfId="0" applyFont="1" applyFill="1" applyBorder="1" applyAlignment="1" applyProtection="1">
      <alignment wrapText="1"/>
    </xf>
    <xf numFmtId="0" fontId="9" fillId="5" borderId="10" xfId="0" applyFont="1" applyFill="1" applyBorder="1" applyAlignment="1" applyProtection="1">
      <alignment wrapText="1"/>
    </xf>
    <xf numFmtId="0" fontId="9" fillId="5" borderId="10" xfId="0" applyFont="1" applyFill="1" applyBorder="1" applyAlignment="1" applyProtection="1">
      <alignment horizontal="center" wrapText="1"/>
    </xf>
    <xf numFmtId="10" fontId="9" fillId="5" borderId="10" xfId="0" applyNumberFormat="1" applyFont="1" applyFill="1" applyBorder="1" applyAlignment="1" applyProtection="1">
      <alignment horizontal="right"/>
    </xf>
    <xf numFmtId="10" fontId="9" fillId="7" borderId="10" xfId="0" applyNumberFormat="1" applyFont="1" applyFill="1" applyBorder="1" applyAlignment="1" applyProtection="1">
      <alignment horizontal="right"/>
    </xf>
    <xf numFmtId="10" fontId="9" fillId="7" borderId="11" xfId="0" applyNumberFormat="1" applyFont="1" applyFill="1" applyBorder="1" applyAlignment="1" applyProtection="1">
      <alignment horizontal="right"/>
    </xf>
    <xf numFmtId="166" fontId="0" fillId="0" borderId="0" xfId="1" applyNumberFormat="1" applyFont="1"/>
    <xf numFmtId="44" fontId="0" fillId="0" borderId="0" xfId="3" applyFont="1"/>
    <xf numFmtId="44" fontId="0" fillId="0" borderId="0" xfId="3" applyFont="1" applyAlignment="1">
      <alignment vertical="center"/>
    </xf>
    <xf numFmtId="44" fontId="2" fillId="0" borderId="0" xfId="3" applyFont="1"/>
    <xf numFmtId="44" fontId="2" fillId="10" borderId="0" xfId="3" applyFont="1" applyFill="1"/>
    <xf numFmtId="44" fontId="1" fillId="0" borderId="0" xfId="3" applyFont="1"/>
    <xf numFmtId="44" fontId="4" fillId="0" borderId="0" xfId="3" applyFont="1"/>
    <xf numFmtId="10" fontId="0" fillId="0" borderId="0" xfId="0" applyNumberFormat="1" applyFill="1"/>
    <xf numFmtId="10" fontId="0" fillId="11" borderId="25" xfId="0" applyNumberFormat="1" applyFont="1" applyFill="1" applyBorder="1" applyAlignment="1" applyProtection="1">
      <alignment horizontal="right"/>
    </xf>
    <xf numFmtId="164" fontId="0" fillId="0" borderId="0" xfId="2" applyNumberFormat="1" applyFont="1"/>
    <xf numFmtId="164" fontId="2" fillId="0" borderId="0" xfId="2" applyNumberFormat="1" applyFont="1"/>
    <xf numFmtId="9" fontId="0" fillId="0" borderId="0" xfId="1" applyNumberFormat="1" applyFont="1"/>
    <xf numFmtId="43" fontId="0" fillId="0" borderId="0" xfId="1" applyNumberFormat="1" applyFont="1"/>
    <xf numFmtId="43" fontId="0" fillId="10" borderId="0" xfId="1" applyFont="1" applyFill="1"/>
    <xf numFmtId="10" fontId="0" fillId="10" borderId="0" xfId="1" applyNumberFormat="1" applyFont="1" applyFill="1"/>
    <xf numFmtId="9" fontId="2" fillId="0" borderId="0" xfId="2" applyFont="1"/>
    <xf numFmtId="167" fontId="0" fillId="0" borderId="0" xfId="0" applyNumberFormat="1"/>
    <xf numFmtId="10" fontId="0" fillId="9" borderId="0" xfId="1" applyNumberFormat="1" applyFont="1" applyFill="1"/>
    <xf numFmtId="0" fontId="0" fillId="12" borderId="0" xfId="0" applyFill="1"/>
    <xf numFmtId="10" fontId="0" fillId="12" borderId="0" xfId="2" applyNumberFormat="1" applyFont="1" applyFill="1"/>
    <xf numFmtId="10" fontId="2" fillId="0" borderId="0" xfId="0" applyNumberFormat="1" applyFont="1"/>
    <xf numFmtId="0" fontId="0" fillId="13" borderId="0" xfId="0" applyFont="1" applyFill="1"/>
    <xf numFmtId="44" fontId="0" fillId="0" borderId="0" xfId="0" applyNumberFormat="1"/>
    <xf numFmtId="0" fontId="2" fillId="12" borderId="0" xfId="0" applyFont="1" applyFill="1" applyAlignment="1">
      <alignment horizontal="center"/>
    </xf>
    <xf numFmtId="0" fontId="0" fillId="0" borderId="0" xfId="0" applyFont="1" applyFill="1"/>
    <xf numFmtId="43" fontId="0" fillId="0" borderId="0" xfId="0" applyNumberFormat="1" applyFill="1"/>
    <xf numFmtId="44" fontId="0" fillId="0" borderId="0" xfId="0" applyNumberFormat="1" applyFont="1"/>
    <xf numFmtId="0" fontId="0" fillId="0" borderId="0" xfId="0" applyAlignment="1">
      <alignment vertical="center"/>
    </xf>
    <xf numFmtId="0" fontId="2" fillId="14" borderId="0" xfId="0" applyFont="1" applyFill="1"/>
    <xf numFmtId="0" fontId="0" fillId="14" borderId="0" xfId="0" applyFill="1"/>
    <xf numFmtId="43" fontId="0" fillId="0" borderId="0" xfId="1" applyFont="1" applyAlignment="1">
      <alignment horizontal="center"/>
    </xf>
    <xf numFmtId="0" fontId="14" fillId="0" borderId="0" xfId="0" applyFont="1"/>
    <xf numFmtId="44" fontId="0" fillId="0" borderId="0" xfId="3" applyFont="1" applyFill="1"/>
    <xf numFmtId="10" fontId="0" fillId="15" borderId="0" xfId="1" applyNumberFormat="1" applyFont="1" applyFill="1"/>
    <xf numFmtId="9" fontId="0" fillId="15" borderId="0" xfId="0" applyNumberFormat="1" applyFill="1"/>
    <xf numFmtId="10" fontId="1" fillId="0" borderId="0" xfId="2" applyNumberFormat="1" applyFont="1" applyFill="1"/>
    <xf numFmtId="0" fontId="15" fillId="0" borderId="0" xfId="0" applyFont="1"/>
    <xf numFmtId="2" fontId="0" fillId="11" borderId="3" xfId="0" applyNumberFormat="1" applyFont="1" applyFill="1" applyBorder="1" applyAlignment="1" applyProtection="1">
      <alignment horizontal="right"/>
    </xf>
    <xf numFmtId="10" fontId="7" fillId="11" borderId="13" xfId="2" applyNumberFormat="1" applyFont="1" applyFill="1" applyBorder="1" applyAlignment="1" applyProtection="1">
      <alignment horizontal="center" wrapText="1"/>
    </xf>
    <xf numFmtId="10" fontId="7" fillId="11" borderId="25" xfId="2" applyNumberFormat="1" applyFont="1" applyFill="1" applyBorder="1" applyAlignment="1" applyProtection="1">
      <alignment horizontal="center" wrapText="1"/>
    </xf>
    <xf numFmtId="10" fontId="7" fillId="11" borderId="15" xfId="2" applyNumberFormat="1" applyFont="1" applyFill="1" applyBorder="1" applyAlignment="1" applyProtection="1">
      <alignment horizontal="center" wrapText="1"/>
    </xf>
    <xf numFmtId="10" fontId="5" fillId="11" borderId="3" xfId="0" applyNumberFormat="1" applyFont="1" applyFill="1" applyBorder="1" applyAlignment="1" applyProtection="1">
      <alignment horizontal="right"/>
    </xf>
    <xf numFmtId="0" fontId="0" fillId="3" borderId="0" xfId="0" applyFill="1" applyAlignment="1" applyProtection="1">
      <alignment horizontal="center" vertical="center"/>
      <protection locked="0"/>
    </xf>
    <xf numFmtId="44" fontId="0" fillId="3" borderId="0" xfId="3" applyFont="1" applyFill="1" applyProtection="1">
      <protection locked="0"/>
    </xf>
    <xf numFmtId="0" fontId="0" fillId="3" borderId="0" xfId="0" applyFill="1" applyProtection="1">
      <protection locked="0"/>
    </xf>
    <xf numFmtId="0" fontId="0" fillId="3" borderId="0" xfId="0" applyFill="1" applyAlignment="1" applyProtection="1">
      <alignment vertical="center"/>
      <protection locked="0"/>
    </xf>
    <xf numFmtId="164" fontId="0" fillId="3" borderId="0" xfId="2" applyNumberFormat="1" applyFont="1" applyFill="1" applyProtection="1">
      <protection locked="0"/>
    </xf>
    <xf numFmtId="44" fontId="1" fillId="3" borderId="0" xfId="3" applyFont="1" applyFill="1" applyProtection="1">
      <protection locked="0"/>
    </xf>
    <xf numFmtId="44" fontId="0" fillId="9" borderId="0" xfId="3" applyFont="1" applyFill="1" applyProtection="1"/>
    <xf numFmtId="44" fontId="0" fillId="2" borderId="0" xfId="3" applyFont="1" applyFill="1" applyProtection="1">
      <protection locked="0"/>
    </xf>
    <xf numFmtId="0" fontId="4" fillId="4" borderId="0" xfId="0" applyFont="1" applyFill="1"/>
    <xf numFmtId="0" fontId="4" fillId="0" borderId="0" xfId="0" applyFont="1" applyAlignment="1">
      <alignment wrapText="1"/>
    </xf>
    <xf numFmtId="0" fontId="16" fillId="0" borderId="0" xfId="4"/>
    <xf numFmtId="14" fontId="0" fillId="0" borderId="0" xfId="0" applyNumberFormat="1"/>
    <xf numFmtId="0" fontId="2" fillId="0" borderId="0" xfId="0" applyFont="1" applyFill="1"/>
    <xf numFmtId="0" fontId="0" fillId="0" borderId="21" xfId="0" applyFont="1" applyBorder="1" applyAlignment="1" applyProtection="1">
      <alignment horizontal="left" wrapText="1"/>
    </xf>
    <xf numFmtId="0" fontId="0" fillId="0" borderId="3" xfId="0" applyFont="1" applyBorder="1" applyAlignment="1" applyProtection="1">
      <alignment horizontal="left" wrapText="1"/>
    </xf>
    <xf numFmtId="0" fontId="5" fillId="5" borderId="21" xfId="0" applyFont="1" applyFill="1" applyBorder="1" applyAlignment="1" applyProtection="1">
      <alignment wrapText="1"/>
    </xf>
    <xf numFmtId="0" fontId="5" fillId="5" borderId="3" xfId="0" applyFont="1" applyFill="1" applyBorder="1" applyAlignment="1" applyProtection="1">
      <alignment wrapText="1"/>
    </xf>
    <xf numFmtId="0" fontId="5" fillId="5" borderId="3" xfId="0" applyFont="1" applyFill="1" applyBorder="1" applyAlignment="1" applyProtection="1">
      <alignment horizontal="center"/>
    </xf>
    <xf numFmtId="0" fontId="5" fillId="0" borderId="21" xfId="0" applyFont="1" applyBorder="1" applyAlignment="1" applyProtection="1">
      <alignment wrapText="1"/>
    </xf>
    <xf numFmtId="0" fontId="5" fillId="0" borderId="3" xfId="0" applyFont="1" applyBorder="1" applyAlignment="1" applyProtection="1">
      <alignment wrapText="1"/>
    </xf>
    <xf numFmtId="0" fontId="5" fillId="2" borderId="21" xfId="0" applyFont="1" applyFill="1" applyBorder="1" applyAlignment="1" applyProtection="1">
      <alignment wrapText="1"/>
    </xf>
    <xf numFmtId="0" fontId="5" fillId="2" borderId="3" xfId="0" applyFont="1" applyFill="1" applyBorder="1" applyAlignment="1" applyProtection="1">
      <alignment wrapText="1"/>
    </xf>
    <xf numFmtId="0" fontId="5" fillId="5" borderId="21" xfId="0" applyFont="1" applyFill="1" applyBorder="1" applyAlignment="1" applyProtection="1">
      <alignment horizontal="left" vertical="center" wrapText="1"/>
    </xf>
    <xf numFmtId="0" fontId="5" fillId="5" borderId="3" xfId="0" applyFont="1" applyFill="1" applyBorder="1" applyAlignment="1" applyProtection="1">
      <alignment horizontal="left" vertical="center" wrapText="1"/>
    </xf>
    <xf numFmtId="0" fontId="5" fillId="5" borderId="22" xfId="0" applyFont="1" applyFill="1" applyBorder="1" applyAlignment="1" applyProtection="1">
      <alignment horizontal="left" vertical="center" wrapText="1"/>
    </xf>
    <xf numFmtId="0" fontId="5" fillId="5" borderId="5" xfId="0" applyFont="1" applyFill="1" applyBorder="1" applyAlignment="1" applyProtection="1">
      <alignment horizontal="left" vertical="center" wrapText="1"/>
    </xf>
    <xf numFmtId="0" fontId="0" fillId="0" borderId="26" xfId="0" applyFont="1" applyBorder="1" applyAlignment="1" applyProtection="1">
      <alignment horizontal="left" wrapText="1"/>
    </xf>
    <xf numFmtId="0" fontId="0" fillId="0" borderId="17" xfId="0" applyFont="1" applyBorder="1" applyAlignment="1" applyProtection="1">
      <alignment horizontal="left" wrapText="1"/>
    </xf>
    <xf numFmtId="2" fontId="0" fillId="0" borderId="27" xfId="0" applyNumberFormat="1" applyFont="1" applyBorder="1" applyAlignment="1" applyProtection="1">
      <alignment horizontal="center"/>
    </xf>
    <xf numFmtId="2" fontId="0" fillId="0" borderId="16" xfId="0" applyNumberFormat="1" applyFont="1" applyBorder="1" applyAlignment="1" applyProtection="1">
      <alignment horizontal="center"/>
    </xf>
    <xf numFmtId="0" fontId="5" fillId="5" borderId="4" xfId="0" applyFont="1" applyFill="1" applyBorder="1" applyAlignment="1" applyProtection="1">
      <alignment horizontal="center"/>
    </xf>
    <xf numFmtId="0" fontId="5" fillId="5" borderId="20" xfId="0" applyFont="1" applyFill="1" applyBorder="1" applyAlignment="1" applyProtection="1">
      <alignment wrapText="1"/>
    </xf>
    <xf numFmtId="0" fontId="5" fillId="5" borderId="1" xfId="0" applyFont="1" applyFill="1" applyBorder="1" applyAlignment="1" applyProtection="1">
      <alignment wrapText="1"/>
    </xf>
    <xf numFmtId="0" fontId="0" fillId="0" borderId="21" xfId="0" applyFont="1" applyBorder="1" applyAlignment="1" applyProtection="1">
      <alignment vertical="center" wrapText="1"/>
    </xf>
    <xf numFmtId="0" fontId="0" fillId="0" borderId="3" xfId="0" applyFont="1" applyBorder="1" applyAlignment="1" applyProtection="1">
      <alignment vertical="center" wrapText="1"/>
    </xf>
    <xf numFmtId="0" fontId="0" fillId="5" borderId="21" xfId="0" applyFont="1" applyFill="1" applyBorder="1" applyAlignment="1" applyProtection="1">
      <alignment vertical="center" wrapText="1"/>
    </xf>
    <xf numFmtId="0" fontId="0" fillId="5" borderId="3" xfId="0" applyFont="1" applyFill="1" applyBorder="1" applyAlignment="1" applyProtection="1">
      <alignment vertical="center" wrapText="1"/>
    </xf>
    <xf numFmtId="0" fontId="5" fillId="5" borderId="22" xfId="0" applyFont="1" applyFill="1" applyBorder="1" applyAlignment="1" applyProtection="1">
      <alignment vertical="center" wrapText="1"/>
    </xf>
    <xf numFmtId="0" fontId="5" fillId="5" borderId="5" xfId="0" applyFont="1" applyFill="1" applyBorder="1" applyAlignment="1" applyProtection="1">
      <alignment vertical="center" wrapText="1"/>
    </xf>
    <xf numFmtId="0" fontId="2" fillId="5" borderId="1" xfId="0" applyFont="1" applyFill="1" applyBorder="1" applyAlignment="1" applyProtection="1">
      <alignment horizontal="center"/>
    </xf>
    <xf numFmtId="0" fontId="2" fillId="5" borderId="2" xfId="0" applyFont="1" applyFill="1" applyBorder="1" applyAlignment="1" applyProtection="1">
      <alignment horizontal="center"/>
    </xf>
    <xf numFmtId="0" fontId="6" fillId="6" borderId="7" xfId="0" applyFont="1" applyFill="1" applyBorder="1" applyAlignment="1" applyProtection="1">
      <alignment horizontal="center" vertical="center" wrapText="1"/>
    </xf>
    <xf numFmtId="0" fontId="6" fillId="6" borderId="8" xfId="0" applyFont="1" applyFill="1" applyBorder="1" applyAlignment="1" applyProtection="1">
      <alignment horizontal="center" vertical="center" wrapText="1"/>
    </xf>
    <xf numFmtId="0" fontId="6" fillId="6" borderId="9" xfId="0" applyFont="1" applyFill="1" applyBorder="1" applyAlignment="1" applyProtection="1">
      <alignment horizontal="center" vertical="center" wrapText="1"/>
    </xf>
    <xf numFmtId="0" fontId="0" fillId="0" borderId="13" xfId="0" applyFont="1" applyBorder="1" applyAlignment="1" applyProtection="1">
      <alignment wrapText="1"/>
    </xf>
    <xf numFmtId="2" fontId="0" fillId="0" borderId="9" xfId="0" applyNumberFormat="1" applyFont="1" applyBorder="1" applyAlignment="1" applyProtection="1">
      <alignment horizontal="center"/>
    </xf>
    <xf numFmtId="0" fontId="5" fillId="5" borderId="20" xfId="0" applyFont="1" applyFill="1" applyBorder="1" applyAlignment="1" applyProtection="1">
      <alignment horizontal="left" wrapText="1"/>
    </xf>
    <xf numFmtId="0" fontId="5" fillId="5" borderId="1" xfId="0" applyFont="1" applyFill="1" applyBorder="1" applyAlignment="1" applyProtection="1">
      <alignment horizontal="left" wrapText="1"/>
    </xf>
    <xf numFmtId="0" fontId="5" fillId="5" borderId="13" xfId="0" applyFont="1" applyFill="1" applyBorder="1" applyAlignment="1" applyProtection="1">
      <alignment horizontal="center"/>
    </xf>
    <xf numFmtId="0" fontId="2" fillId="5" borderId="3" xfId="0" applyFont="1" applyFill="1" applyBorder="1" applyAlignment="1" applyProtection="1">
      <alignment horizontal="center"/>
    </xf>
    <xf numFmtId="0" fontId="5" fillId="5" borderId="28" xfId="0" applyFont="1" applyFill="1" applyBorder="1" applyAlignment="1" applyProtection="1">
      <alignment horizontal="left" vertical="center" wrapText="1"/>
    </xf>
    <xf numFmtId="0" fontId="5" fillId="5" borderId="29" xfId="0" applyFont="1" applyFill="1" applyBorder="1" applyAlignment="1" applyProtection="1">
      <alignment horizontal="left" vertical="center" wrapText="1"/>
    </xf>
    <xf numFmtId="0" fontId="5" fillId="5" borderId="24" xfId="0" applyFont="1" applyFill="1" applyBorder="1" applyAlignment="1" applyProtection="1">
      <alignment horizontal="left" vertical="center" wrapText="1"/>
    </xf>
    <xf numFmtId="0" fontId="5" fillId="5" borderId="30" xfId="0" applyFont="1" applyFill="1" applyBorder="1" applyAlignment="1" applyProtection="1">
      <alignment horizontal="left" vertical="center" wrapText="1"/>
    </xf>
    <xf numFmtId="0" fontId="5" fillId="5" borderId="0" xfId="0" applyFont="1" applyFill="1" applyBorder="1" applyAlignment="1" applyProtection="1">
      <alignment horizontal="left" vertical="center" wrapText="1"/>
    </xf>
    <xf numFmtId="0" fontId="5" fillId="5" borderId="14" xfId="0" applyFont="1" applyFill="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3"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0" fillId="0" borderId="28" xfId="0" applyFont="1" applyFill="1" applyBorder="1" applyAlignment="1" applyProtection="1">
      <alignment horizontal="left" wrapText="1"/>
    </xf>
    <xf numFmtId="0" fontId="0" fillId="0" borderId="29" xfId="0" applyFont="1" applyFill="1" applyBorder="1" applyAlignment="1" applyProtection="1">
      <alignment horizontal="left" wrapText="1"/>
    </xf>
    <xf numFmtId="0" fontId="0" fillId="0" borderId="19" xfId="0" applyFont="1" applyFill="1" applyBorder="1" applyAlignment="1" applyProtection="1">
      <alignment horizontal="left" wrapText="1"/>
    </xf>
    <xf numFmtId="0" fontId="0" fillId="0" borderId="18" xfId="0" applyFont="1" applyFill="1" applyBorder="1" applyAlignment="1" applyProtection="1">
      <alignment horizontal="left" wrapText="1"/>
    </xf>
    <xf numFmtId="0" fontId="0" fillId="0" borderId="12" xfId="0" applyFont="1" applyFill="1" applyBorder="1" applyAlignment="1" applyProtection="1">
      <alignment horizontal="left" wrapText="1"/>
    </xf>
    <xf numFmtId="0" fontId="0" fillId="0" borderId="10" xfId="0" applyFont="1" applyFill="1" applyBorder="1" applyAlignment="1" applyProtection="1">
      <alignment horizontal="left" wrapText="1"/>
    </xf>
    <xf numFmtId="0" fontId="0" fillId="0" borderId="11" xfId="0" applyFont="1" applyFill="1" applyBorder="1" applyAlignment="1" applyProtection="1">
      <alignment horizontal="left" wrapText="1"/>
    </xf>
  </cellXfs>
  <cellStyles count="5">
    <cellStyle name="Hyperlink" xfId="4" builtinId="8"/>
    <cellStyle name="Komma" xfId="1" builtinId="3"/>
    <cellStyle name="Prozent" xfId="2" builtinId="5"/>
    <cellStyle name="Standard" xfId="0" builtinId="0"/>
    <cellStyle name="Währung"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147249</xdr:colOff>
      <xdr:row>0</xdr:row>
      <xdr:rowOff>33130</xdr:rowOff>
    </xdr:from>
    <xdr:to>
      <xdr:col>5</xdr:col>
      <xdr:colOff>344873</xdr:colOff>
      <xdr:row>3</xdr:row>
      <xdr:rowOff>24848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9706" y="33130"/>
          <a:ext cx="1818212" cy="604631"/>
        </a:xfrm>
        <a:prstGeom prst="rect">
          <a:avLst/>
        </a:prstGeom>
      </xdr:spPr>
    </xdr:pic>
    <xdr:clientData/>
  </xdr:twoCellAnchor>
  <xdr:twoCellAnchor editAs="oneCell">
    <xdr:from>
      <xdr:col>3</xdr:col>
      <xdr:colOff>568594</xdr:colOff>
      <xdr:row>3</xdr:row>
      <xdr:rowOff>150645</xdr:rowOff>
    </xdr:from>
    <xdr:to>
      <xdr:col>4</xdr:col>
      <xdr:colOff>782116</xdr:colOff>
      <xdr:row>9</xdr:row>
      <xdr:rowOff>904</xdr:rowOff>
    </xdr:to>
    <xdr:pic>
      <xdr:nvPicPr>
        <xdr:cNvPr id="4"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1051" y="763558"/>
          <a:ext cx="975522" cy="975522"/>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www.ars.at/forum/read.php?3,31537"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85"/>
  <sheetViews>
    <sheetView tabSelected="1" zoomScale="130" zoomScaleNormal="130" workbookViewId="0">
      <selection activeCell="B7" sqref="B7"/>
    </sheetView>
  </sheetViews>
  <sheetFormatPr baseColWidth="10" defaultRowHeight="15" x14ac:dyDescent="0.25"/>
  <cols>
    <col min="1" max="1" width="60" customWidth="1"/>
    <col min="2" max="2" width="26.28515625" customWidth="1"/>
    <col min="3" max="3" width="16.28515625" bestFit="1" customWidth="1"/>
    <col min="5" max="5" width="12.7109375" bestFit="1" customWidth="1"/>
  </cols>
  <sheetData>
    <row r="1" spans="1:4" ht="18.75" x14ac:dyDescent="0.3">
      <c r="A1" s="3" t="s">
        <v>0</v>
      </c>
    </row>
    <row r="3" spans="1:4" x14ac:dyDescent="0.25">
      <c r="A3" t="s">
        <v>2</v>
      </c>
      <c r="B3" s="224"/>
    </row>
    <row r="5" spans="1:4" x14ac:dyDescent="0.25">
      <c r="A5" t="s">
        <v>3</v>
      </c>
      <c r="B5" s="224" t="s">
        <v>18</v>
      </c>
    </row>
    <row r="7" spans="1:4" x14ac:dyDescent="0.25">
      <c r="A7" t="s">
        <v>306</v>
      </c>
      <c r="B7" s="224" t="s">
        <v>312</v>
      </c>
    </row>
    <row r="9" spans="1:4" x14ac:dyDescent="0.25">
      <c r="A9" t="s">
        <v>352</v>
      </c>
      <c r="B9" s="225"/>
      <c r="C9" s="12"/>
    </row>
    <row r="11" spans="1:4" x14ac:dyDescent="0.25">
      <c r="A11" t="s">
        <v>222</v>
      </c>
      <c r="B11" s="226"/>
      <c r="C11" t="s">
        <v>140</v>
      </c>
      <c r="D11" s="42"/>
    </row>
    <row r="12" spans="1:4" x14ac:dyDescent="0.25">
      <c r="A12" t="s">
        <v>354</v>
      </c>
      <c r="B12" s="226"/>
      <c r="C12" t="s">
        <v>140</v>
      </c>
      <c r="D12" s="14"/>
    </row>
    <row r="13" spans="1:4" x14ac:dyDescent="0.25">
      <c r="A13" s="9" t="s">
        <v>355</v>
      </c>
      <c r="B13" s="14" t="str">
        <f>IF(ISERROR(B12/B11),"",B12/B11)</f>
        <v/>
      </c>
      <c r="C13" t="s">
        <v>229</v>
      </c>
      <c r="D13" s="14"/>
    </row>
    <row r="14" spans="1:4" x14ac:dyDescent="0.25">
      <c r="A14" s="9" t="s">
        <v>353</v>
      </c>
      <c r="B14" s="189" t="str">
        <f>IF(ISERROR('Übersicht LZ_NLZ'!F28*(1-Unternehmensdaten!B13)+'Übersicht LZ_NLZ'!H28*Unternehmensdaten!B13),"",'Übersicht LZ_NLZ'!F28*(1-Unternehmensdaten!B13)+'Übersicht LZ_NLZ'!H28*Unternehmensdaten!B13)</f>
        <v/>
      </c>
      <c r="D14" s="14"/>
    </row>
    <row r="15" spans="1:4" x14ac:dyDescent="0.25">
      <c r="B15" s="189"/>
      <c r="D15" s="14"/>
    </row>
    <row r="16" spans="1:4" x14ac:dyDescent="0.25">
      <c r="A16" t="s">
        <v>356</v>
      </c>
      <c r="B16" s="226"/>
      <c r="C16" t="s">
        <v>140</v>
      </c>
      <c r="D16" s="14"/>
    </row>
    <row r="17" spans="1:4" x14ac:dyDescent="0.25">
      <c r="A17" s="9" t="s">
        <v>270</v>
      </c>
      <c r="B17" s="189" t="str">
        <f>IF(ISERROR((B16/B11)*'Österreichische Werte'!F62+((Unternehmensdaten!B11-Unternehmensdaten!B16)/Unternehmensdaten!B11)*1.53%),"",(B16/B11)*'Österreichische Werte'!F62+((Unternehmensdaten!B11-Unternehmensdaten!B16)/Unternehmensdaten!B11)*1.53%)</f>
        <v/>
      </c>
      <c r="D17" s="14"/>
    </row>
    <row r="18" spans="1:4" x14ac:dyDescent="0.25">
      <c r="A18" s="9"/>
      <c r="B18" s="189"/>
      <c r="D18" s="14"/>
    </row>
    <row r="19" spans="1:4" x14ac:dyDescent="0.25">
      <c r="A19" t="s">
        <v>225</v>
      </c>
      <c r="B19" s="224" t="s">
        <v>227</v>
      </c>
    </row>
    <row r="20" spans="1:4" x14ac:dyDescent="0.25">
      <c r="A20" s="9"/>
      <c r="B20" s="189"/>
      <c r="D20" s="14"/>
    </row>
    <row r="21" spans="1:4" x14ac:dyDescent="0.25">
      <c r="A21" s="1" t="s">
        <v>333</v>
      </c>
    </row>
    <row r="22" spans="1:4" x14ac:dyDescent="0.25">
      <c r="A22" s="1" t="s">
        <v>357</v>
      </c>
    </row>
    <row r="23" spans="1:4" x14ac:dyDescent="0.25">
      <c r="A23" t="s">
        <v>74</v>
      </c>
      <c r="B23" s="225"/>
      <c r="C23" s="5" t="str">
        <f>IF(ISERROR(B23/$B$32),"Lohnsumme fehlt!",B23/$B$32)</f>
        <v>Lohnsumme fehlt!</v>
      </c>
    </row>
    <row r="24" spans="1:4" x14ac:dyDescent="0.25">
      <c r="A24" t="s">
        <v>332</v>
      </c>
      <c r="B24" s="225"/>
      <c r="C24" s="5" t="str">
        <f>IF(ISERROR(B24/$B$32),"Lohnsumme fehlt!",B24/$B$32)</f>
        <v>Lohnsumme fehlt!</v>
      </c>
    </row>
    <row r="25" spans="1:4" x14ac:dyDescent="0.25">
      <c r="A25" s="9"/>
    </row>
    <row r="26" spans="1:4" x14ac:dyDescent="0.25">
      <c r="A26" s="10" t="s">
        <v>76</v>
      </c>
      <c r="B26" s="225"/>
      <c r="D26" s="218" t="str">
        <f>IF(ISBLANK(B26),"",IF(AND(B11&gt;=50,B26&lt;('Österreichische Werte'!G39/2)),"ACHTUNG: Wert überprüfen!",IF(AND(B11&lt;50,B26&lt;('Österreichische Werte'!G39/4)),"ACHTUNG: Wert überprüfen!","")))</f>
        <v/>
      </c>
    </row>
    <row r="27" spans="1:4" x14ac:dyDescent="0.25">
      <c r="A27" s="10" t="s">
        <v>141</v>
      </c>
      <c r="B27" s="229"/>
      <c r="D27" s="218"/>
    </row>
    <row r="28" spans="1:4" x14ac:dyDescent="0.25">
      <c r="A28" s="10" t="s">
        <v>329</v>
      </c>
      <c r="B28" s="225"/>
    </row>
    <row r="29" spans="1:4" x14ac:dyDescent="0.25">
      <c r="A29" s="9" t="s">
        <v>294</v>
      </c>
      <c r="B29" s="208">
        <f>IF(OR(B26=0,B26=""),IF(B11&gt;=50,'Österreichische Werte'!G39,'Österreichische Werte'!G39/2),B26)+B27+B28</f>
        <v>0</v>
      </c>
      <c r="C29" s="14" t="str">
        <f>IF(ISERROR(B29/B32),"Lohnsumme fehlt!",B29/B32)</f>
        <v>Lohnsumme fehlt!</v>
      </c>
    </row>
    <row r="30" spans="1:4" x14ac:dyDescent="0.25">
      <c r="A30" s="9"/>
      <c r="B30" s="189"/>
      <c r="D30" s="14"/>
    </row>
    <row r="31" spans="1:4" x14ac:dyDescent="0.25">
      <c r="A31" s="1" t="s">
        <v>358</v>
      </c>
    </row>
    <row r="32" spans="1:4" x14ac:dyDescent="0.25">
      <c r="A32" t="s">
        <v>221</v>
      </c>
      <c r="B32" s="225"/>
      <c r="C32" s="1" t="s">
        <v>78</v>
      </c>
    </row>
    <row r="33" spans="1:4" x14ac:dyDescent="0.25">
      <c r="A33" t="s">
        <v>1</v>
      </c>
      <c r="B33" s="225"/>
      <c r="C33" s="5" t="str">
        <f>IF(ISERROR(B33/$B$32),"Lohnsumme fehlt!",B33/$B$32)</f>
        <v>Lohnsumme fehlt!</v>
      </c>
    </row>
    <row r="34" spans="1:4" x14ac:dyDescent="0.25">
      <c r="A34" s="232" t="s">
        <v>360</v>
      </c>
      <c r="B34" s="4" t="str">
        <f>IF(ISERROR(('Übersicht LZ_NLZ'!E16*(1-Unternehmensdaten!B13)+'Übersicht LZ_NLZ'!G16*Unternehmensdaten!B13)*C33),"Lohnsumme oder Anzahl Mitarbeiter fehlt!",('Übersicht LZ_NLZ'!E16*(1-Unternehmensdaten!B13)+'Übersicht LZ_NLZ'!G16*Unternehmensdaten!B13)*C33)</f>
        <v>Lohnsumme oder Anzahl Mitarbeiter fehlt!</v>
      </c>
    </row>
    <row r="35" spans="1:4" x14ac:dyDescent="0.25">
      <c r="B35" s="23"/>
      <c r="D35" s="14"/>
    </row>
    <row r="36" spans="1:4" x14ac:dyDescent="0.25">
      <c r="A36" t="s">
        <v>359</v>
      </c>
      <c r="B36" s="226"/>
      <c r="C36" s="5" t="s">
        <v>321</v>
      </c>
      <c r="D36" s="218" t="str">
        <f>IF(ISBLANK(B36),"",IF(B36&lt;5,"ACHTUNG: Wert überprüfen!",""))</f>
        <v/>
      </c>
    </row>
    <row r="37" spans="1:4" x14ac:dyDescent="0.25">
      <c r="A37" t="s">
        <v>320</v>
      </c>
      <c r="B37" s="226"/>
      <c r="C37" s="5" t="s">
        <v>321</v>
      </c>
    </row>
    <row r="38" spans="1:4" x14ac:dyDescent="0.25">
      <c r="A38" t="s">
        <v>367</v>
      </c>
      <c r="B38" s="226"/>
      <c r="C38" s="5" t="str">
        <f>IF(ISERROR(B38/$B$32),"Lohnsumme fehlt!",B38/$B$32)</f>
        <v>Lohnsumme fehlt!</v>
      </c>
    </row>
    <row r="39" spans="1:4" x14ac:dyDescent="0.25">
      <c r="B39" s="23"/>
      <c r="D39" s="14"/>
    </row>
    <row r="40" spans="1:4" ht="45" customHeight="1" x14ac:dyDescent="0.25">
      <c r="A40" s="11" t="s">
        <v>223</v>
      </c>
      <c r="B40" s="227"/>
      <c r="C40" s="209" t="s">
        <v>330</v>
      </c>
    </row>
    <row r="41" spans="1:4" x14ac:dyDescent="0.25">
      <c r="A41" s="233" t="s">
        <v>282</v>
      </c>
      <c r="B41" s="189" t="str">
        <f>IF(ISERROR(B40*'Österreichische Werte'!B42/Unternehmensdaten!B32),"Lohnsumme fehlt!",B40*'Österreichische Werte'!B42/Unternehmensdaten!B32)</f>
        <v>Lohnsumme fehlt!</v>
      </c>
      <c r="C41" t="s">
        <v>229</v>
      </c>
    </row>
    <row r="42" spans="1:4" x14ac:dyDescent="0.25">
      <c r="B42" s="23"/>
      <c r="D42" s="14"/>
    </row>
    <row r="43" spans="1:4" x14ac:dyDescent="0.25">
      <c r="A43" s="9" t="s">
        <v>323</v>
      </c>
      <c r="B43" s="214">
        <f>IF(B5="Wien",B11*'Österreichische Werte'!E27,0)</f>
        <v>0</v>
      </c>
      <c r="C43" s="5" t="str">
        <f>IF(ISERROR(B43/B32),"Lohnsumme fehlt!",B43/B32)</f>
        <v>Lohnsumme fehlt!</v>
      </c>
    </row>
    <row r="44" spans="1:4" x14ac:dyDescent="0.25">
      <c r="A44" s="9" t="s">
        <v>324</v>
      </c>
      <c r="B44" s="23">
        <f>ROUNDDOWN(IF(B11&gt;=25,B11/25,0),0)</f>
        <v>0</v>
      </c>
      <c r="C44" s="5" t="s">
        <v>140</v>
      </c>
    </row>
    <row r="45" spans="1:4" x14ac:dyDescent="0.25">
      <c r="A45" t="s">
        <v>325</v>
      </c>
      <c r="B45" s="226"/>
      <c r="C45" s="5" t="s">
        <v>140</v>
      </c>
    </row>
    <row r="46" spans="1:4" x14ac:dyDescent="0.25">
      <c r="A46" s="9" t="s">
        <v>4</v>
      </c>
      <c r="B46" s="214">
        <f>IF(B45&gt;B44,0,(B44-B45)*'Österreichische Werte'!F7)</f>
        <v>0</v>
      </c>
      <c r="C46" s="5" t="str">
        <f>IF(ISERROR(IF(B45&gt;B44,0,B46/B32)),"Lohnsumme fehlt!",IF(B45&gt;B44,0,B46/B32))</f>
        <v>Lohnsumme fehlt!</v>
      </c>
    </row>
    <row r="48" spans="1:4" x14ac:dyDescent="0.25">
      <c r="A48" s="10" t="s">
        <v>364</v>
      </c>
      <c r="B48" s="225"/>
      <c r="C48" s="5" t="str">
        <f>IF(ISERROR(B48/$B$32),"Lohnsumme fehlt!",B48/$B$32)</f>
        <v>Lohnsumme fehlt!</v>
      </c>
    </row>
    <row r="49" spans="1:3" x14ac:dyDescent="0.25">
      <c r="B49" s="4"/>
    </row>
    <row r="50" spans="1:3" x14ac:dyDescent="0.25">
      <c r="A50" s="10" t="s">
        <v>331</v>
      </c>
      <c r="B50" s="225"/>
      <c r="C50" s="5" t="str">
        <f>IF(ISERROR(B50/$B$32),"Lohnsumme fehlt!",B50/$B$32)</f>
        <v>Lohnsumme fehlt!</v>
      </c>
    </row>
    <row r="51" spans="1:3" x14ac:dyDescent="0.25">
      <c r="A51" s="9"/>
      <c r="C51" s="5"/>
    </row>
    <row r="52" spans="1:3" x14ac:dyDescent="0.25">
      <c r="A52" s="1" t="s">
        <v>106</v>
      </c>
      <c r="C52" s="5"/>
    </row>
    <row r="53" spans="1:3" x14ac:dyDescent="0.25">
      <c r="A53" s="10" t="s">
        <v>328</v>
      </c>
      <c r="B53" s="225"/>
      <c r="C53" s="5" t="str">
        <f>IF(ISERROR(B53/B32),"Lohnsumme fehlt!",B53/B32)</f>
        <v>Lohnsumme fehlt!</v>
      </c>
    </row>
    <row r="54" spans="1:3" x14ac:dyDescent="0.25">
      <c r="A54" s="10"/>
    </row>
    <row r="55" spans="1:3" x14ac:dyDescent="0.25">
      <c r="C55" s="1" t="s">
        <v>78</v>
      </c>
    </row>
    <row r="56" spans="1:3" x14ac:dyDescent="0.25">
      <c r="A56" s="1" t="s">
        <v>363</v>
      </c>
      <c r="B56" s="230">
        <f>IF(ISBLANK(B57),SUM(B59:B77),B57)</f>
        <v>0</v>
      </c>
      <c r="C56" s="5" t="str">
        <f>IF(ISERROR(B56/$B$32),"Lohnsumme fehlt!",B56/$B$32)</f>
        <v>Lohnsumme fehlt!</v>
      </c>
    </row>
    <row r="57" spans="1:3" x14ac:dyDescent="0.25">
      <c r="A57" s="10" t="s">
        <v>350</v>
      </c>
      <c r="B57" s="225"/>
      <c r="C57" s="5"/>
    </row>
    <row r="58" spans="1:3" x14ac:dyDescent="0.25">
      <c r="A58" s="10" t="s">
        <v>349</v>
      </c>
      <c r="C58" s="5"/>
    </row>
    <row r="59" spans="1:3" x14ac:dyDescent="0.25">
      <c r="A59" t="s">
        <v>337</v>
      </c>
      <c r="B59" s="225"/>
    </row>
    <row r="60" spans="1:3" x14ac:dyDescent="0.25">
      <c r="A60" t="s">
        <v>334</v>
      </c>
      <c r="B60" s="225"/>
    </row>
    <row r="61" spans="1:3" x14ac:dyDescent="0.25">
      <c r="A61" t="s">
        <v>335</v>
      </c>
      <c r="B61" s="225"/>
    </row>
    <row r="62" spans="1:3" x14ac:dyDescent="0.25">
      <c r="A62" t="s">
        <v>336</v>
      </c>
      <c r="B62" s="225"/>
    </row>
    <row r="63" spans="1:3" x14ac:dyDescent="0.25">
      <c r="A63" t="s">
        <v>338</v>
      </c>
      <c r="B63" s="225"/>
    </row>
    <row r="64" spans="1:3" x14ac:dyDescent="0.25">
      <c r="A64" t="s">
        <v>339</v>
      </c>
      <c r="B64" s="225"/>
    </row>
    <row r="65" spans="1:2" x14ac:dyDescent="0.25">
      <c r="A65" t="s">
        <v>340</v>
      </c>
      <c r="B65" s="225"/>
    </row>
    <row r="66" spans="1:2" x14ac:dyDescent="0.25">
      <c r="A66" t="s">
        <v>341</v>
      </c>
      <c r="B66" s="225"/>
    </row>
    <row r="67" spans="1:2" x14ac:dyDescent="0.25">
      <c r="A67" t="s">
        <v>342</v>
      </c>
      <c r="B67" s="225"/>
    </row>
    <row r="68" spans="1:2" x14ac:dyDescent="0.25">
      <c r="A68" t="s">
        <v>343</v>
      </c>
      <c r="B68" s="225"/>
    </row>
    <row r="69" spans="1:2" x14ac:dyDescent="0.25">
      <c r="A69" t="s">
        <v>344</v>
      </c>
      <c r="B69" s="225"/>
    </row>
    <row r="70" spans="1:2" ht="30" x14ac:dyDescent="0.25">
      <c r="A70" s="11" t="s">
        <v>365</v>
      </c>
      <c r="B70" s="225"/>
    </row>
    <row r="71" spans="1:2" x14ac:dyDescent="0.25">
      <c r="A71" s="11" t="s">
        <v>351</v>
      </c>
      <c r="B71" s="225"/>
    </row>
    <row r="72" spans="1:2" x14ac:dyDescent="0.25">
      <c r="A72" t="s">
        <v>345</v>
      </c>
      <c r="B72" s="225"/>
    </row>
    <row r="73" spans="1:2" ht="45" x14ac:dyDescent="0.25">
      <c r="A73" s="11" t="s">
        <v>366</v>
      </c>
      <c r="B73" s="225"/>
    </row>
    <row r="74" spans="1:2" x14ac:dyDescent="0.25">
      <c r="A74" t="s">
        <v>346</v>
      </c>
      <c r="B74" s="225"/>
    </row>
    <row r="75" spans="1:2" x14ac:dyDescent="0.25">
      <c r="A75" s="11" t="s">
        <v>347</v>
      </c>
      <c r="B75" s="225"/>
    </row>
    <row r="76" spans="1:2" x14ac:dyDescent="0.25">
      <c r="A76" t="s">
        <v>348</v>
      </c>
      <c r="B76" s="225"/>
    </row>
    <row r="77" spans="1:2" x14ac:dyDescent="0.25">
      <c r="A77" t="s">
        <v>147</v>
      </c>
      <c r="B77" s="225"/>
    </row>
    <row r="79" spans="1:2" x14ac:dyDescent="0.25">
      <c r="A79" t="s">
        <v>362</v>
      </c>
      <c r="B79" s="228"/>
    </row>
    <row r="80" spans="1:2" x14ac:dyDescent="0.25">
      <c r="A80" t="s">
        <v>361</v>
      </c>
      <c r="B80" s="228"/>
    </row>
    <row r="84" spans="1:1" x14ac:dyDescent="0.25">
      <c r="A84" t="s">
        <v>399</v>
      </c>
    </row>
    <row r="85" spans="1:1" x14ac:dyDescent="0.25">
      <c r="A85" t="s">
        <v>400</v>
      </c>
    </row>
  </sheetData>
  <sheetProtection password="CD72" sheet="1" objects="1" scenarios="1"/>
  <dataValidations count="3">
    <dataValidation type="list" allowBlank="1" showInputMessage="1" showErrorMessage="1" sqref="B5">
      <formula1>Bundesland</formula1>
    </dataValidation>
    <dataValidation type="list" allowBlank="1" showInputMessage="1" showErrorMessage="1" sqref="B7">
      <formula1>Unternehmensart</formula1>
    </dataValidation>
    <dataValidation type="whole" operator="greaterThanOrEqual" allowBlank="1" showInputMessage="1" showErrorMessage="1" sqref="B40 B36">
      <formula1>0</formula1>
    </dataValidation>
  </dataValidations>
  <pageMargins left="0.70866141732283472" right="0.70866141732283472" top="0.78740157480314965" bottom="0.78740157480314965" header="0.31496062992125984" footer="0.31496062992125984"/>
  <pageSetup paperSize="9" scale="5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'Statistische Daten'!$A$3:$A$4</xm:f>
          </x14:formula1>
          <xm:sqref>B19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0"/>
  <sheetViews>
    <sheetView zoomScale="80" zoomScaleNormal="80" workbookViewId="0">
      <pane ySplit="2" topLeftCell="A3" activePane="bottomLeft" state="frozen"/>
      <selection activeCell="D56" sqref="D56"/>
      <selection pane="bottomLeft" activeCell="B13" sqref="B13"/>
    </sheetView>
  </sheetViews>
  <sheetFormatPr baseColWidth="10" defaultRowHeight="15" x14ac:dyDescent="0.25"/>
  <cols>
    <col min="1" max="1" width="8" style="15" bestFit="1" customWidth="1"/>
    <col min="2" max="2" width="61.28515625" customWidth="1"/>
    <col min="3" max="3" width="35.7109375" bestFit="1" customWidth="1"/>
    <col min="4" max="4" width="8.28515625" style="14" customWidth="1"/>
    <col min="5" max="5" width="9.140625" style="14" bestFit="1" customWidth="1"/>
    <col min="6" max="7" width="9.28515625" style="6" customWidth="1"/>
    <col min="8" max="12" width="9.28515625" customWidth="1"/>
    <col min="16" max="16" width="17.7109375" bestFit="1" customWidth="1"/>
  </cols>
  <sheetData>
    <row r="1" spans="1:14" x14ac:dyDescent="0.25">
      <c r="A1" s="13" t="s">
        <v>128</v>
      </c>
      <c r="F1" s="28" t="s">
        <v>115</v>
      </c>
      <c r="G1" s="28"/>
      <c r="H1" s="28"/>
      <c r="I1" s="28"/>
      <c r="J1" s="28"/>
      <c r="K1" s="28"/>
      <c r="L1" s="28"/>
    </row>
    <row r="2" spans="1:14" x14ac:dyDescent="0.25">
      <c r="F2" s="29" t="s">
        <v>116</v>
      </c>
      <c r="G2" s="29" t="s">
        <v>117</v>
      </c>
      <c r="H2" s="29" t="s">
        <v>118</v>
      </c>
      <c r="I2" s="29" t="s">
        <v>119</v>
      </c>
      <c r="J2" s="29" t="s">
        <v>120</v>
      </c>
      <c r="K2" s="29" t="s">
        <v>121</v>
      </c>
      <c r="L2" s="33" t="s">
        <v>144</v>
      </c>
      <c r="M2" s="29"/>
      <c r="N2" s="29" t="s">
        <v>145</v>
      </c>
    </row>
    <row r="3" spans="1:14" x14ac:dyDescent="0.25">
      <c r="A3" s="15" t="s">
        <v>79</v>
      </c>
      <c r="B3" s="9" t="s">
        <v>80</v>
      </c>
      <c r="E3" s="14">
        <v>1</v>
      </c>
      <c r="F3" s="183">
        <f>'KV Daten DFG 2016'!C2</f>
        <v>10.199999999999999</v>
      </c>
      <c r="G3" s="183">
        <f>'KV Daten DFG 2016'!C3</f>
        <v>9.24</v>
      </c>
      <c r="H3" s="183">
        <f>'KV Daten DFG 2016'!C4</f>
        <v>9.02</v>
      </c>
      <c r="I3" s="183">
        <f>'KV Daten DFG 2016'!C5</f>
        <v>8.75</v>
      </c>
      <c r="J3" s="183">
        <f>'KV Daten DFG 2016'!C6</f>
        <v>8.42</v>
      </c>
      <c r="K3" s="183">
        <f>'KV Daten DFG 2016'!C7</f>
        <v>8.36</v>
      </c>
      <c r="L3" s="231">
        <v>8.5</v>
      </c>
    </row>
    <row r="4" spans="1:14" ht="30" x14ac:dyDescent="0.25">
      <c r="A4" s="15" t="s">
        <v>81</v>
      </c>
      <c r="B4" s="16" t="s">
        <v>224</v>
      </c>
      <c r="C4" s="11"/>
      <c r="D4" s="17"/>
      <c r="E4" s="18">
        <f>IF(ISBLANK(Unternehmensdaten!B12),'Übersicht LZ_NLZ'!F35,Unternehmensdaten!B14)</f>
        <v>0.24714036944719509</v>
      </c>
      <c r="F4" s="184">
        <f>F3*$E$4</f>
        <v>2.5208317683613899</v>
      </c>
      <c r="G4" s="184">
        <f t="shared" ref="G4:L4" si="0">G3*$E$4</f>
        <v>2.2835770136920828</v>
      </c>
      <c r="H4" s="184">
        <f t="shared" si="0"/>
        <v>2.2292061324136996</v>
      </c>
      <c r="I4" s="184">
        <f t="shared" si="0"/>
        <v>2.162478232662957</v>
      </c>
      <c r="J4" s="184">
        <f t="shared" si="0"/>
        <v>2.0809219107453827</v>
      </c>
      <c r="K4" s="184">
        <f t="shared" si="0"/>
        <v>2.0660934885785509</v>
      </c>
      <c r="L4" s="184">
        <f t="shared" si="0"/>
        <v>2.1006931403011584</v>
      </c>
    </row>
    <row r="5" spans="1:14" ht="7.15" customHeight="1" x14ac:dyDescent="0.25"/>
    <row r="6" spans="1:14" x14ac:dyDescent="0.25">
      <c r="C6" s="1" t="s">
        <v>82</v>
      </c>
      <c r="D6" s="19"/>
      <c r="E6" s="19">
        <f>SUM(E4:E4)</f>
        <v>0.24714036944719509</v>
      </c>
      <c r="F6" s="185">
        <f>SUM(F4:F4)</f>
        <v>2.5208317683613899</v>
      </c>
      <c r="G6" s="185">
        <f t="shared" ref="G6:L6" si="1">SUM(G4:G4)</f>
        <v>2.2835770136920828</v>
      </c>
      <c r="H6" s="185">
        <f t="shared" si="1"/>
        <v>2.2292061324136996</v>
      </c>
      <c r="I6" s="185">
        <f t="shared" si="1"/>
        <v>2.162478232662957</v>
      </c>
      <c r="J6" s="185">
        <f t="shared" si="1"/>
        <v>2.0809219107453827</v>
      </c>
      <c r="K6" s="185">
        <f t="shared" si="1"/>
        <v>2.0660934885785509</v>
      </c>
      <c r="L6" s="185">
        <f t="shared" si="1"/>
        <v>2.1006931403011584</v>
      </c>
    </row>
    <row r="7" spans="1:14" ht="7.15" customHeight="1" x14ac:dyDescent="0.25"/>
    <row r="8" spans="1:14" x14ac:dyDescent="0.25">
      <c r="A8" s="15" t="s">
        <v>83</v>
      </c>
      <c r="B8" s="9" t="s">
        <v>124</v>
      </c>
    </row>
    <row r="9" spans="1:14" x14ac:dyDescent="0.25">
      <c r="B9" t="s">
        <v>41</v>
      </c>
      <c r="D9" s="14">
        <f>'Österreichische Werte'!B75</f>
        <v>0.1255</v>
      </c>
    </row>
    <row r="10" spans="1:14" x14ac:dyDescent="0.25">
      <c r="B10" t="s">
        <v>42</v>
      </c>
      <c r="D10" s="14">
        <f>'Österreichische Werte'!B76</f>
        <v>1.2999999999999999E-2</v>
      </c>
    </row>
    <row r="11" spans="1:14" x14ac:dyDescent="0.25">
      <c r="B11" t="s">
        <v>43</v>
      </c>
      <c r="D11" s="14">
        <f>'Österreichische Werte'!B77</f>
        <v>3.78E-2</v>
      </c>
    </row>
    <row r="12" spans="1:14" x14ac:dyDescent="0.25">
      <c r="B12" t="s">
        <v>97</v>
      </c>
      <c r="D12" s="14">
        <f>'Österreichische Werte'!B78+'Österreichische Werte'!B79</f>
        <v>3.3500000000000002E-2</v>
      </c>
    </row>
    <row r="13" spans="1:14" x14ac:dyDescent="0.25">
      <c r="B13" t="s">
        <v>122</v>
      </c>
      <c r="D13" s="14">
        <f>'Österreichische Werte'!B80</f>
        <v>5.0000000000000001E-3</v>
      </c>
    </row>
    <row r="14" spans="1:14" x14ac:dyDescent="0.25">
      <c r="B14" s="9" t="s">
        <v>123</v>
      </c>
      <c r="D14" s="20">
        <f>SUM(D9:D13)</f>
        <v>0.21480000000000002</v>
      </c>
    </row>
    <row r="15" spans="1:14" x14ac:dyDescent="0.25">
      <c r="B15" t="s">
        <v>86</v>
      </c>
      <c r="D15" s="14">
        <f>'Österreichische Werte'!B82</f>
        <v>4.4999999999999998E-2</v>
      </c>
    </row>
    <row r="16" spans="1:14" x14ac:dyDescent="0.25">
      <c r="B16" t="s">
        <v>87</v>
      </c>
      <c r="D16" s="41">
        <f>VLOOKUP(Unternehmensdaten!B5,DZ,2,1)</f>
        <v>4.0000000000000001E-3</v>
      </c>
    </row>
    <row r="17" spans="1:19" x14ac:dyDescent="0.25">
      <c r="B17" t="s">
        <v>47</v>
      </c>
      <c r="D17" s="14">
        <f>'Österreichische Werte'!B84</f>
        <v>0.03</v>
      </c>
    </row>
    <row r="18" spans="1:19" x14ac:dyDescent="0.25">
      <c r="B18" t="s">
        <v>88</v>
      </c>
      <c r="D18" s="19">
        <f>SUM(D14:D17)</f>
        <v>0.29380000000000006</v>
      </c>
    </row>
    <row r="19" spans="1:19" x14ac:dyDescent="0.25">
      <c r="A19" s="21">
        <f>D18</f>
        <v>0.29380000000000006</v>
      </c>
      <c r="B19" t="s">
        <v>89</v>
      </c>
      <c r="E19" s="14">
        <f>F19/$F$3</f>
        <v>0.366409840543586</v>
      </c>
      <c r="F19" s="183">
        <f t="shared" ref="F19:L19" si="2">(F3+F6)*$A$19</f>
        <v>3.737380373544577</v>
      </c>
      <c r="G19" s="183">
        <f t="shared" si="2"/>
        <v>3.3856269266227348</v>
      </c>
      <c r="H19" s="183">
        <f t="shared" si="2"/>
        <v>3.3050167617031452</v>
      </c>
      <c r="I19" s="183">
        <f t="shared" si="2"/>
        <v>3.2060861047563778</v>
      </c>
      <c r="J19" s="183">
        <f t="shared" si="2"/>
        <v>3.085170857376994</v>
      </c>
      <c r="K19" s="183">
        <f t="shared" si="2"/>
        <v>3.0631862669443786</v>
      </c>
      <c r="L19" s="183">
        <f t="shared" si="2"/>
        <v>3.1144836446204813</v>
      </c>
      <c r="M19" s="14"/>
    </row>
    <row r="20" spans="1:19" ht="7.15" customHeight="1" x14ac:dyDescent="0.25"/>
    <row r="21" spans="1:19" x14ac:dyDescent="0.25">
      <c r="C21" s="1" t="s">
        <v>90</v>
      </c>
      <c r="E21" s="19">
        <f>SUM(E6:E20)</f>
        <v>0.61355020999078103</v>
      </c>
      <c r="F21" s="185">
        <f t="shared" ref="F21:L21" si="3">F3*$E$21</f>
        <v>6.2582121419059664</v>
      </c>
      <c r="G21" s="185">
        <f t="shared" si="3"/>
        <v>5.6692039403148167</v>
      </c>
      <c r="H21" s="185">
        <f t="shared" si="3"/>
        <v>5.5342228941168443</v>
      </c>
      <c r="I21" s="185">
        <f t="shared" si="3"/>
        <v>5.3685643374193344</v>
      </c>
      <c r="J21" s="185">
        <f t="shared" si="3"/>
        <v>5.1660927681223763</v>
      </c>
      <c r="K21" s="185">
        <f t="shared" si="3"/>
        <v>5.129279755522929</v>
      </c>
      <c r="L21" s="185">
        <f t="shared" si="3"/>
        <v>5.2151767849216384</v>
      </c>
      <c r="M21" s="23"/>
      <c r="N21" s="23"/>
      <c r="O21" s="23"/>
      <c r="P21" s="23"/>
      <c r="Q21" s="23"/>
      <c r="R21" s="23"/>
      <c r="S21" s="23"/>
    </row>
    <row r="22" spans="1:19" ht="7.15" customHeight="1" x14ac:dyDescent="0.25">
      <c r="C22" s="1"/>
      <c r="E22" s="19"/>
      <c r="F22" s="22"/>
      <c r="K22" s="23"/>
      <c r="L22" s="23"/>
      <c r="M22" s="23"/>
      <c r="N22" s="23"/>
      <c r="O22" s="23"/>
      <c r="P22" s="23"/>
      <c r="Q22" s="23"/>
      <c r="R22" s="23"/>
      <c r="S22" s="23"/>
    </row>
    <row r="23" spans="1:19" x14ac:dyDescent="0.25">
      <c r="A23" s="15" t="s">
        <v>91</v>
      </c>
      <c r="B23" t="s">
        <v>92</v>
      </c>
      <c r="K23" s="23"/>
      <c r="L23" s="23"/>
      <c r="M23" s="23"/>
      <c r="N23" s="23"/>
      <c r="O23" s="23"/>
      <c r="P23" s="23"/>
      <c r="Q23" s="23"/>
      <c r="R23" s="23"/>
      <c r="S23" s="23"/>
    </row>
    <row r="24" spans="1:19" x14ac:dyDescent="0.25">
      <c r="B24" t="s">
        <v>93</v>
      </c>
      <c r="D24" s="14">
        <f>1/12</f>
        <v>8.3333333333333329E-2</v>
      </c>
      <c r="K24" s="23"/>
      <c r="L24" s="23"/>
      <c r="M24" s="23"/>
      <c r="N24" s="23"/>
      <c r="O24" s="5"/>
      <c r="P24" s="23"/>
      <c r="Q24" s="23"/>
      <c r="R24" s="23"/>
      <c r="S24" s="23"/>
    </row>
    <row r="25" spans="1:19" x14ac:dyDescent="0.25">
      <c r="B25" t="s">
        <v>94</v>
      </c>
      <c r="D25" s="14">
        <f>1/12</f>
        <v>8.3333333333333329E-2</v>
      </c>
      <c r="K25" s="23"/>
      <c r="L25" s="23"/>
      <c r="M25" s="23"/>
      <c r="N25" s="23"/>
      <c r="O25" s="23"/>
      <c r="P25" s="23"/>
      <c r="Q25" s="23"/>
      <c r="R25" s="23"/>
      <c r="S25" s="23"/>
    </row>
    <row r="26" spans="1:19" x14ac:dyDescent="0.25">
      <c r="D26" s="19">
        <f>SUM(D24:D25)</f>
        <v>0.16666666666666666</v>
      </c>
      <c r="K26" s="23"/>
      <c r="L26" s="23"/>
      <c r="M26" s="23"/>
      <c r="N26" s="23"/>
      <c r="O26" s="23"/>
      <c r="P26" s="23"/>
      <c r="Q26" s="23"/>
      <c r="R26" s="23"/>
      <c r="S26" s="23"/>
    </row>
    <row r="27" spans="1:19" x14ac:dyDescent="0.25">
      <c r="A27" s="21">
        <f>D26</f>
        <v>0.16666666666666666</v>
      </c>
      <c r="B27" t="s">
        <v>89</v>
      </c>
      <c r="E27" s="14">
        <f>F27/$F$3</f>
        <v>0.20785672824119916</v>
      </c>
      <c r="F27" s="183">
        <f t="shared" ref="F27:L27" si="4">(F3+F4)*$A$27</f>
        <v>2.1201386280602312</v>
      </c>
      <c r="G27" s="183">
        <f t="shared" si="4"/>
        <v>1.9205961689486806</v>
      </c>
      <c r="H27" s="183">
        <f t="shared" si="4"/>
        <v>1.8748676887356164</v>
      </c>
      <c r="I27" s="183">
        <f t="shared" si="4"/>
        <v>1.8187463721104928</v>
      </c>
      <c r="J27" s="183">
        <f t="shared" si="4"/>
        <v>1.7501536517908971</v>
      </c>
      <c r="K27" s="183">
        <f t="shared" si="4"/>
        <v>1.7376822480964249</v>
      </c>
      <c r="L27" s="183">
        <f t="shared" si="4"/>
        <v>1.766782190050193</v>
      </c>
      <c r="M27" s="14"/>
    </row>
    <row r="28" spans="1:19" ht="7.15" customHeight="1" x14ac:dyDescent="0.25">
      <c r="K28" s="23"/>
      <c r="L28" s="23"/>
      <c r="M28" s="23"/>
      <c r="N28" s="23"/>
      <c r="O28" s="23"/>
      <c r="P28" s="23"/>
      <c r="Q28" s="23"/>
      <c r="R28" s="23"/>
      <c r="S28" s="23"/>
    </row>
    <row r="29" spans="1:19" x14ac:dyDescent="0.25">
      <c r="C29" s="1" t="s">
        <v>95</v>
      </c>
      <c r="E29" s="19">
        <f>SUM(E21:E28)</f>
        <v>0.82140693823198019</v>
      </c>
      <c r="F29" s="185">
        <f t="shared" ref="F29:L29" si="5">F3*$E$29</f>
        <v>8.3783507699661968</v>
      </c>
      <c r="G29" s="185">
        <f t="shared" si="5"/>
        <v>7.5898001092634972</v>
      </c>
      <c r="H29" s="185">
        <f t="shared" si="5"/>
        <v>7.4090905828524614</v>
      </c>
      <c r="I29" s="185">
        <f t="shared" si="5"/>
        <v>7.187310709529827</v>
      </c>
      <c r="J29" s="185">
        <f t="shared" si="5"/>
        <v>6.9162464199132732</v>
      </c>
      <c r="K29" s="185">
        <f t="shared" si="5"/>
        <v>6.8669620036193537</v>
      </c>
      <c r="L29" s="185">
        <f t="shared" si="5"/>
        <v>6.9819589749718318</v>
      </c>
      <c r="M29" s="23"/>
      <c r="N29" s="23"/>
      <c r="O29" s="23"/>
      <c r="P29" s="23"/>
      <c r="Q29" s="23"/>
      <c r="R29" s="23"/>
      <c r="S29" s="23"/>
    </row>
    <row r="30" spans="1:19" ht="7.15" customHeight="1" x14ac:dyDescent="0.25">
      <c r="K30" s="23"/>
      <c r="L30" s="23"/>
      <c r="M30" s="23"/>
      <c r="N30" s="23"/>
      <c r="O30" s="23"/>
      <c r="P30" s="23"/>
      <c r="Q30" s="23"/>
      <c r="R30" s="23"/>
      <c r="S30" s="23"/>
    </row>
    <row r="31" spans="1:19" x14ac:dyDescent="0.25">
      <c r="A31" s="15" t="s">
        <v>96</v>
      </c>
      <c r="B31" s="9" t="s">
        <v>125</v>
      </c>
    </row>
    <row r="32" spans="1:19" x14ac:dyDescent="0.25">
      <c r="B32" t="s">
        <v>41</v>
      </c>
      <c r="D32" s="14">
        <f>'Österreichische Werte'!B75</f>
        <v>0.1255</v>
      </c>
    </row>
    <row r="33" spans="1:14" x14ac:dyDescent="0.25">
      <c r="B33" t="s">
        <v>42</v>
      </c>
      <c r="D33" s="14">
        <f>'Österreichische Werte'!B76</f>
        <v>1.2999999999999999E-2</v>
      </c>
    </row>
    <row r="34" spans="1:14" x14ac:dyDescent="0.25">
      <c r="B34" t="s">
        <v>43</v>
      </c>
      <c r="D34" s="14">
        <f>'Österreichische Werte'!B77</f>
        <v>3.78E-2</v>
      </c>
    </row>
    <row r="35" spans="1:14" x14ac:dyDescent="0.25">
      <c r="B35" t="s">
        <v>97</v>
      </c>
      <c r="D35" s="14">
        <f>'Österreichische Werte'!B78+'Österreichische Werte'!B79</f>
        <v>3.3500000000000002E-2</v>
      </c>
    </row>
    <row r="36" spans="1:14" x14ac:dyDescent="0.25">
      <c r="B36" t="s">
        <v>84</v>
      </c>
      <c r="D36" s="20">
        <f>SUM(D32:D35)</f>
        <v>0.20980000000000001</v>
      </c>
    </row>
    <row r="37" spans="1:14" x14ac:dyDescent="0.25">
      <c r="B37" t="s">
        <v>86</v>
      </c>
      <c r="D37" s="14">
        <f>'Österreichische Werte'!B82</f>
        <v>4.4999999999999998E-2</v>
      </c>
    </row>
    <row r="38" spans="1:14" x14ac:dyDescent="0.25">
      <c r="B38" t="s">
        <v>87</v>
      </c>
      <c r="D38" s="41">
        <f>D16</f>
        <v>4.0000000000000001E-3</v>
      </c>
    </row>
    <row r="39" spans="1:14" x14ac:dyDescent="0.25">
      <c r="B39" t="s">
        <v>47</v>
      </c>
      <c r="D39" s="14">
        <f>'Österreichische Werte'!B84</f>
        <v>0.03</v>
      </c>
    </row>
    <row r="40" spans="1:14" x14ac:dyDescent="0.25">
      <c r="B40" t="s">
        <v>98</v>
      </c>
      <c r="D40" s="19">
        <f>SUM(D36:D39)</f>
        <v>0.28880000000000006</v>
      </c>
    </row>
    <row r="41" spans="1:14" x14ac:dyDescent="0.25">
      <c r="A41" s="21">
        <f>D40</f>
        <v>0.28880000000000006</v>
      </c>
      <c r="B41" t="s">
        <v>99</v>
      </c>
      <c r="E41" s="14">
        <f>F41/$F$3</f>
        <v>6.0029023116058323E-2</v>
      </c>
      <c r="F41" s="183">
        <f t="shared" ref="F41:L41" si="6">F27*$A$41</f>
        <v>0.61229603578379488</v>
      </c>
      <c r="G41" s="183">
        <f t="shared" si="6"/>
        <v>0.55466817359237908</v>
      </c>
      <c r="H41" s="183">
        <f t="shared" si="6"/>
        <v>0.54146178850684612</v>
      </c>
      <c r="I41" s="183">
        <f t="shared" si="6"/>
        <v>0.52525395226551042</v>
      </c>
      <c r="J41" s="183">
        <f t="shared" si="6"/>
        <v>0.50544437463721115</v>
      </c>
      <c r="K41" s="183">
        <f t="shared" si="6"/>
        <v>0.50184263325024758</v>
      </c>
      <c r="L41" s="183">
        <f t="shared" si="6"/>
        <v>0.51024669648649579</v>
      </c>
    </row>
    <row r="42" spans="1:14" ht="7.15" customHeight="1" x14ac:dyDescent="0.25"/>
    <row r="43" spans="1:14" x14ac:dyDescent="0.25">
      <c r="C43" s="1" t="s">
        <v>100</v>
      </c>
      <c r="E43" s="19">
        <f>SUM(E29:E42)</f>
        <v>0.88143596134803848</v>
      </c>
      <c r="F43" s="185">
        <f t="shared" ref="F43:L43" si="7">F3*$E$43</f>
        <v>8.9906468057499911</v>
      </c>
      <c r="G43" s="185">
        <f t="shared" si="7"/>
        <v>8.1444682828558754</v>
      </c>
      <c r="H43" s="185">
        <f t="shared" si="7"/>
        <v>7.9505523713593069</v>
      </c>
      <c r="I43" s="185">
        <f t="shared" si="7"/>
        <v>7.7125646617953363</v>
      </c>
      <c r="J43" s="185">
        <f t="shared" si="7"/>
        <v>7.421690794550484</v>
      </c>
      <c r="K43" s="185">
        <f t="shared" si="7"/>
        <v>7.3688046368696014</v>
      </c>
      <c r="L43" s="185">
        <f t="shared" si="7"/>
        <v>7.4922056714583274</v>
      </c>
      <c r="N43" s="6"/>
    </row>
    <row r="44" spans="1:14" ht="7.15" customHeight="1" x14ac:dyDescent="0.25"/>
    <row r="45" spans="1:14" x14ac:dyDescent="0.25">
      <c r="A45" s="15" t="s">
        <v>102</v>
      </c>
      <c r="B45" s="9" t="s">
        <v>85</v>
      </c>
      <c r="C45" s="1"/>
      <c r="E45" s="19"/>
      <c r="F45" s="22"/>
      <c r="G45" s="22"/>
      <c r="H45" s="22"/>
      <c r="I45" s="22"/>
      <c r="J45" s="22"/>
      <c r="K45" s="22"/>
      <c r="L45" s="22"/>
      <c r="N45" s="6"/>
    </row>
    <row r="46" spans="1:14" x14ac:dyDescent="0.25">
      <c r="B46" t="s">
        <v>214</v>
      </c>
      <c r="D46" s="5" t="str">
        <f>Unternehmensdaten!B17</f>
        <v/>
      </c>
      <c r="H46" s="6"/>
      <c r="I46" s="6"/>
      <c r="J46" s="6"/>
      <c r="K46" s="6"/>
      <c r="L46" s="6"/>
    </row>
    <row r="47" spans="1:14" x14ac:dyDescent="0.25">
      <c r="A47" s="21" t="str">
        <f>D46</f>
        <v/>
      </c>
      <c r="B47" t="s">
        <v>89</v>
      </c>
      <c r="E47" s="14" t="e">
        <f>F47/F3</f>
        <v>#VALUE!</v>
      </c>
      <c r="F47" s="183" t="e">
        <f>(F3+F4+F27)*$A$47</f>
        <v>#VALUE!</v>
      </c>
      <c r="G47" s="183" t="e">
        <f t="shared" ref="G47:L47" si="8">(G3+G4+G27)*$A$47</f>
        <v>#VALUE!</v>
      </c>
      <c r="H47" s="183" t="e">
        <f t="shared" si="8"/>
        <v>#VALUE!</v>
      </c>
      <c r="I47" s="183" t="e">
        <f t="shared" si="8"/>
        <v>#VALUE!</v>
      </c>
      <c r="J47" s="183" t="e">
        <f t="shared" si="8"/>
        <v>#VALUE!</v>
      </c>
      <c r="K47" s="183" t="e">
        <f t="shared" si="8"/>
        <v>#VALUE!</v>
      </c>
      <c r="L47" s="183" t="e">
        <f t="shared" si="8"/>
        <v>#VALUE!</v>
      </c>
    </row>
    <row r="48" spans="1:14" ht="7.15" customHeight="1" x14ac:dyDescent="0.25"/>
    <row r="49" spans="1:19" x14ac:dyDescent="0.25">
      <c r="A49" s="21"/>
      <c r="C49" s="1" t="s">
        <v>108</v>
      </c>
      <c r="E49" s="19" t="e">
        <f>SUM(E43:E48)</f>
        <v>#VALUE!</v>
      </c>
      <c r="F49" s="185" t="e">
        <f>F3*$E$49</f>
        <v>#VALUE!</v>
      </c>
      <c r="G49" s="185" t="e">
        <f t="shared" ref="G49:L49" si="9">G3*$E$49</f>
        <v>#VALUE!</v>
      </c>
      <c r="H49" s="185" t="e">
        <f t="shared" si="9"/>
        <v>#VALUE!</v>
      </c>
      <c r="I49" s="185" t="e">
        <f t="shared" si="9"/>
        <v>#VALUE!</v>
      </c>
      <c r="J49" s="185" t="e">
        <f t="shared" si="9"/>
        <v>#VALUE!</v>
      </c>
      <c r="K49" s="185" t="e">
        <f t="shared" si="9"/>
        <v>#VALUE!</v>
      </c>
      <c r="L49" s="185" t="e">
        <f t="shared" si="9"/>
        <v>#VALUE!</v>
      </c>
      <c r="M49" s="23"/>
      <c r="N49" s="23"/>
      <c r="O49" s="23"/>
      <c r="P49" s="23"/>
      <c r="Q49" s="23"/>
      <c r="R49" s="23"/>
      <c r="S49" s="23"/>
    </row>
    <row r="50" spans="1:19" ht="7.15" customHeight="1" x14ac:dyDescent="0.25">
      <c r="M50" s="23"/>
      <c r="N50" s="23"/>
      <c r="O50" s="23"/>
      <c r="P50" s="23"/>
      <c r="Q50" s="23"/>
      <c r="R50" s="23"/>
      <c r="S50" s="23"/>
    </row>
    <row r="51" spans="1:19" x14ac:dyDescent="0.25">
      <c r="B51" s="35" t="s">
        <v>135</v>
      </c>
      <c r="C51" s="35"/>
      <c r="D51" s="37"/>
      <c r="E51" s="37"/>
      <c r="F51" s="186" t="e">
        <f>F49+F3</f>
        <v>#VALUE!</v>
      </c>
      <c r="G51" s="186" t="e">
        <f t="shared" ref="G51:L51" si="10">G49+G3</f>
        <v>#VALUE!</v>
      </c>
      <c r="H51" s="186" t="e">
        <f t="shared" si="10"/>
        <v>#VALUE!</v>
      </c>
      <c r="I51" s="186" t="e">
        <f t="shared" si="10"/>
        <v>#VALUE!</v>
      </c>
      <c r="J51" s="186" t="e">
        <f t="shared" si="10"/>
        <v>#VALUE!</v>
      </c>
      <c r="K51" s="186" t="e">
        <f t="shared" si="10"/>
        <v>#VALUE!</v>
      </c>
      <c r="L51" s="186" t="e">
        <f t="shared" si="10"/>
        <v>#VALUE!</v>
      </c>
      <c r="M51" s="23"/>
      <c r="N51" s="23"/>
      <c r="O51" s="23"/>
      <c r="P51" s="23"/>
      <c r="Q51" s="23"/>
      <c r="R51" s="23"/>
      <c r="S51" s="23"/>
    </row>
    <row r="52" spans="1:19" ht="7.15" customHeight="1" x14ac:dyDescent="0.25">
      <c r="M52" s="23"/>
      <c r="N52" s="23"/>
      <c r="O52" s="23"/>
      <c r="P52" s="23"/>
      <c r="Q52" s="23"/>
      <c r="R52" s="23"/>
      <c r="S52" s="23"/>
    </row>
    <row r="53" spans="1:19" x14ac:dyDescent="0.25">
      <c r="A53" s="15" t="s">
        <v>109</v>
      </c>
      <c r="B53" s="9" t="s">
        <v>143</v>
      </c>
      <c r="H53" s="6"/>
      <c r="I53" s="6"/>
      <c r="J53" s="6"/>
      <c r="K53" s="6"/>
      <c r="L53" s="6"/>
      <c r="M53" s="23"/>
      <c r="N53" s="23"/>
      <c r="O53" s="23"/>
      <c r="P53" s="23"/>
      <c r="Q53" s="23"/>
      <c r="R53" s="23"/>
      <c r="S53" s="23"/>
    </row>
    <row r="54" spans="1:19" x14ac:dyDescent="0.25">
      <c r="B54" t="s">
        <v>103</v>
      </c>
      <c r="D54" s="41">
        <f>IF(OR(ISERROR(IF(Unternehmensdaten!C48=0,'Statistische Daten'!H59,Unternehmensdaten!C48)),Unternehmensdaten!C48="Lohnsumme fehlt!"),'Statistische Daten'!H59,IF(Unternehmensdaten!C48=0,'Statistische Daten'!H59,Unternehmensdaten!C48))</f>
        <v>0</v>
      </c>
      <c r="F54" s="24"/>
      <c r="G54" s="25"/>
      <c r="H54" s="14"/>
      <c r="M54" s="23"/>
      <c r="N54" s="23"/>
      <c r="O54" s="23"/>
      <c r="P54" s="23"/>
      <c r="Q54" s="23"/>
      <c r="R54" s="23"/>
      <c r="S54" s="23"/>
    </row>
    <row r="55" spans="1:19" x14ac:dyDescent="0.25">
      <c r="B55" t="s">
        <v>4</v>
      </c>
      <c r="D55" s="41">
        <f>IF(OR(ISERROR(IF(Unternehmensdaten!B44=Unternehmensdaten!B45,0,IF(Unternehmensdaten!B11&gt;25,Unternehmensdaten!C46,0))),Unternehmensdaten!C46="Lohnsumme fehlt!"),'Statistische Daten'!H60,IF(Unternehmensdaten!B44=Unternehmensdaten!B45,0,IF(Unternehmensdaten!B11&gt;25,Unternehmensdaten!C46,0)))</f>
        <v>0</v>
      </c>
      <c r="M55" s="23"/>
      <c r="N55" s="23"/>
      <c r="O55" s="23"/>
      <c r="P55" s="23"/>
      <c r="Q55" s="23"/>
      <c r="R55" s="23"/>
      <c r="S55" s="23"/>
    </row>
    <row r="56" spans="1:19" x14ac:dyDescent="0.25">
      <c r="B56" t="s">
        <v>280</v>
      </c>
      <c r="D56" s="41">
        <f>IF(OR(ISERROR(IF(Unternehmensdaten!B5="Wien",IF(Unternehmensdaten!C43=0,'Statistische Daten'!H61,Unternehmensdaten!C43),0)),Unternehmensdaten!C43="Lohnsumme fehlt!"),'Statistische Daten'!H61,IF(Unternehmensdaten!B5="Wien",IF(Unternehmensdaten!C43=0,'Statistische Daten'!H61,Unternehmensdaten!C43),0))</f>
        <v>7.0000000000000062E-3</v>
      </c>
      <c r="M56" s="23"/>
      <c r="N56" s="23"/>
      <c r="O56" s="23"/>
      <c r="P56" s="23"/>
      <c r="Q56" s="23"/>
      <c r="R56" s="23"/>
      <c r="S56" s="23"/>
    </row>
    <row r="57" spans="1:19" x14ac:dyDescent="0.25">
      <c r="B57" t="s">
        <v>136</v>
      </c>
      <c r="D57" s="41">
        <f>IF(OR(ISERROR(IF(Unternehmensdaten!B41=0,'Statistische Daten'!H62,Unternehmensdaten!B41)),Unternehmensdaten!B41="Lohnsumme fehlt!"),'Statistische Daten'!H62,IF(Unternehmensdaten!B41=0,'Statistische Daten'!H62,Unternehmensdaten!B41))</f>
        <v>0</v>
      </c>
      <c r="M57" s="23"/>
      <c r="N57" s="23"/>
      <c r="O57" s="23"/>
      <c r="P57" s="23"/>
      <c r="Q57" s="23"/>
      <c r="R57" s="23"/>
      <c r="S57" s="23"/>
    </row>
    <row r="58" spans="1:19" x14ac:dyDescent="0.25">
      <c r="B58" t="s">
        <v>139</v>
      </c>
      <c r="D58" s="41">
        <f>IF(OR(ISERROR(IF(Unternehmensdaten!C29=0,IF(Unternehmensdaten!B11&gt;=50,'Österreichische Werte'!H39,'Österreichische Werte'!H39/2),Unternehmensdaten!C29)),Unternehmensdaten!C29="Lohnsumme fehlt!"),IF(Unternehmensdaten!B11&gt;=50,'Statistische Daten'!H63,'Statistische Daten'!H63/2),IF(Unternehmensdaten!C29=0,IF(Unternehmensdaten!B11&gt;=50,'Österreichische Werte'!H39,'Österreichische Werte'!H39/2),Unternehmensdaten!C29))</f>
        <v>0</v>
      </c>
      <c r="M58" s="23"/>
      <c r="N58" s="23"/>
      <c r="O58" s="23"/>
      <c r="P58" s="5"/>
      <c r="Q58" s="5"/>
      <c r="R58" s="23"/>
      <c r="S58" s="23"/>
    </row>
    <row r="59" spans="1:19" x14ac:dyDescent="0.25">
      <c r="B59" t="s">
        <v>113</v>
      </c>
      <c r="C59" s="1"/>
      <c r="D59" s="19">
        <f>SUM(D54:D58)</f>
        <v>7.0000000000000062E-3</v>
      </c>
      <c r="E59" s="19"/>
      <c r="F59" s="22"/>
      <c r="M59" s="23"/>
      <c r="N59" s="23"/>
      <c r="O59" s="23"/>
      <c r="P59" s="23"/>
      <c r="Q59" s="23"/>
      <c r="R59" s="23"/>
      <c r="S59" s="23"/>
    </row>
    <row r="60" spans="1:19" x14ac:dyDescent="0.25">
      <c r="A60" s="21">
        <f>D59</f>
        <v>7.0000000000000062E-3</v>
      </c>
      <c r="B60" t="s">
        <v>146</v>
      </c>
      <c r="C60" s="1"/>
      <c r="E60" s="14">
        <f>F60/$F$3</f>
        <v>8.7299825861303741E-3</v>
      </c>
      <c r="F60" s="187">
        <f t="shared" ref="F60:L60" si="11">$A$60*(F3+F4)</f>
        <v>8.9045822378529801E-2</v>
      </c>
      <c r="G60" s="187">
        <f t="shared" si="11"/>
        <v>8.0665039095844659E-2</v>
      </c>
      <c r="H60" s="187">
        <f t="shared" si="11"/>
        <v>7.8744442926895961E-2</v>
      </c>
      <c r="I60" s="187">
        <f t="shared" si="11"/>
        <v>7.6387347628640773E-2</v>
      </c>
      <c r="J60" s="187">
        <f t="shared" si="11"/>
        <v>7.3506453375217745E-2</v>
      </c>
      <c r="K60" s="187">
        <f t="shared" si="11"/>
        <v>7.2982654420049919E-2</v>
      </c>
      <c r="L60" s="187">
        <f t="shared" si="11"/>
        <v>7.4204851982108175E-2</v>
      </c>
      <c r="M60" s="217"/>
      <c r="N60" s="23"/>
      <c r="O60" s="23"/>
      <c r="P60" s="23"/>
      <c r="Q60" s="23"/>
      <c r="R60" s="23"/>
      <c r="S60" s="23"/>
    </row>
    <row r="61" spans="1:19" ht="7.15" customHeight="1" x14ac:dyDescent="0.25"/>
    <row r="62" spans="1:19" x14ac:dyDescent="0.25">
      <c r="C62" s="1" t="s">
        <v>127</v>
      </c>
      <c r="E62" s="19" t="e">
        <f>SUM(E49:E61)</f>
        <v>#VALUE!</v>
      </c>
      <c r="F62" s="185" t="e">
        <f t="shared" ref="F62:L62" si="12">F3*$E$62</f>
        <v>#VALUE!</v>
      </c>
      <c r="G62" s="185" t="e">
        <f t="shared" si="12"/>
        <v>#VALUE!</v>
      </c>
      <c r="H62" s="185" t="e">
        <f t="shared" si="12"/>
        <v>#VALUE!</v>
      </c>
      <c r="I62" s="185" t="e">
        <f t="shared" si="12"/>
        <v>#VALUE!</v>
      </c>
      <c r="J62" s="185" t="e">
        <f t="shared" si="12"/>
        <v>#VALUE!</v>
      </c>
      <c r="K62" s="185" t="e">
        <f t="shared" si="12"/>
        <v>#VALUE!</v>
      </c>
      <c r="L62" s="185" t="e">
        <f t="shared" si="12"/>
        <v>#VALUE!</v>
      </c>
      <c r="N62" s="6"/>
    </row>
    <row r="63" spans="1:19" ht="7.15" customHeight="1" x14ac:dyDescent="0.25"/>
    <row r="64" spans="1:19" x14ac:dyDescent="0.25">
      <c r="B64" s="35" t="s">
        <v>101</v>
      </c>
      <c r="C64" s="38" t="s">
        <v>152</v>
      </c>
      <c r="D64" s="39" t="e">
        <f>E62</f>
        <v>#VALUE!</v>
      </c>
      <c r="E64" s="37"/>
      <c r="F64" s="186" t="e">
        <f t="shared" ref="F64:L64" si="13">F62+F3</f>
        <v>#VALUE!</v>
      </c>
      <c r="G64" s="186" t="e">
        <f t="shared" si="13"/>
        <v>#VALUE!</v>
      </c>
      <c r="H64" s="186" t="e">
        <f t="shared" si="13"/>
        <v>#VALUE!</v>
      </c>
      <c r="I64" s="186" t="e">
        <f t="shared" si="13"/>
        <v>#VALUE!</v>
      </c>
      <c r="J64" s="186" t="e">
        <f t="shared" si="13"/>
        <v>#VALUE!</v>
      </c>
      <c r="K64" s="186" t="e">
        <f t="shared" si="13"/>
        <v>#VALUE!</v>
      </c>
      <c r="L64" s="186" t="e">
        <f t="shared" si="13"/>
        <v>#VALUE!</v>
      </c>
      <c r="N64" s="6"/>
    </row>
    <row r="65" spans="1:14" ht="7.15" customHeight="1" x14ac:dyDescent="0.25"/>
    <row r="66" spans="1:14" x14ac:dyDescent="0.25">
      <c r="A66" s="15" t="s">
        <v>126</v>
      </c>
      <c r="B66" s="9" t="s">
        <v>147</v>
      </c>
    </row>
    <row r="67" spans="1:14" x14ac:dyDescent="0.25">
      <c r="B67" t="s">
        <v>104</v>
      </c>
      <c r="D67" s="41">
        <f>IF(OR(ISERROR(IF(Unternehmensdaten!C23=0,'Statistische Daten'!H64,Unternehmensdaten!C23)),Unternehmensdaten!C23="Lohnsumme fehlt!"),'Statistische Daten'!H64,IF(Unternehmensdaten!C23=0,'Statistische Daten'!H64,Unternehmensdaten!C23))</f>
        <v>0.11115206250267347</v>
      </c>
      <c r="F67" s="24"/>
      <c r="G67" s="25"/>
      <c r="H67" s="14"/>
    </row>
    <row r="68" spans="1:14" x14ac:dyDescent="0.25">
      <c r="B68" t="s">
        <v>148</v>
      </c>
      <c r="D68" s="41">
        <f>IF(OR(ISERROR(IF(Unternehmensdaten!C24=0,0,Unternehmensdaten!C24)),Unternehmensdaten!C24="Lohnsumme fehlt!"),0,IF(Unternehmensdaten!C24=0,0,Unternehmensdaten!C24))</f>
        <v>0</v>
      </c>
      <c r="F68" s="24"/>
      <c r="G68" s="25"/>
      <c r="H68" s="14"/>
    </row>
    <row r="69" spans="1:14" x14ac:dyDescent="0.25">
      <c r="B69" t="s">
        <v>105</v>
      </c>
      <c r="D69" s="41">
        <f>IF(OR(ISERROR(IF(Unternehmensdaten!C50=0,'Statistische Daten'!H66,Unternehmensdaten!C50)),Unternehmensdaten!C50="Lohnsumme fehlt!"),'Statistische Daten'!H66,IF(Unternehmensdaten!C50=0,'Statistische Daten'!H66,Unternehmensdaten!C50))</f>
        <v>0</v>
      </c>
      <c r="F69" s="24"/>
      <c r="G69" s="25"/>
      <c r="H69" s="14"/>
    </row>
    <row r="70" spans="1:14" x14ac:dyDescent="0.25">
      <c r="B70" t="s">
        <v>106</v>
      </c>
      <c r="D70" s="41">
        <f>IF(OR(ISERROR(IF(Unternehmensdaten!C53=0,0,Unternehmensdaten!C53)),Unternehmensdaten!C53="Lohnsumme fehlt!"),0,IF(Unternehmensdaten!C53=0,0,Unternehmensdaten!C53))</f>
        <v>0</v>
      </c>
      <c r="F70" s="24"/>
      <c r="G70" s="25"/>
      <c r="H70" s="14"/>
    </row>
    <row r="71" spans="1:14" x14ac:dyDescent="0.25">
      <c r="B71" t="s">
        <v>107</v>
      </c>
      <c r="D71" s="41">
        <f>IF(OR(ISERROR(IF(Unternehmensdaten!C56=0,'Statistische Daten'!H65,Unternehmensdaten!C56)),Unternehmensdaten!C56="Lohnsumme fehlt!"),'Statistische Daten'!H65,IF(Unternehmensdaten!C56=0,'Statistische Daten'!H65,Unternehmensdaten!C56))</f>
        <v>0.52427262911246419</v>
      </c>
      <c r="F71" s="24"/>
      <c r="G71" s="25"/>
    </row>
    <row r="72" spans="1:14" x14ac:dyDescent="0.25">
      <c r="A72" s="21">
        <f>D72</f>
        <v>0.6354246916151377</v>
      </c>
      <c r="B72" t="s">
        <v>149</v>
      </c>
      <c r="D72" s="19">
        <f>SUM(D67:D71)</f>
        <v>0.6354246916151377</v>
      </c>
      <c r="E72" s="14">
        <f>F72/F3</f>
        <v>0.79246378465677281</v>
      </c>
      <c r="F72" s="183">
        <f>(F3+F4)*$A$72</f>
        <v>8.0831306034990824</v>
      </c>
      <c r="G72" s="183">
        <f t="shared" ref="G72:L72" si="14">(G3+G4)*$A$72</f>
        <v>7.3223653702285816</v>
      </c>
      <c r="H72" s="183">
        <f t="shared" si="14"/>
        <v>7.1480233376040907</v>
      </c>
      <c r="I72" s="183">
        <f t="shared" si="14"/>
        <v>6.9340581157467627</v>
      </c>
      <c r="J72" s="183">
        <f t="shared" si="14"/>
        <v>6.6725450668100272</v>
      </c>
      <c r="K72" s="183">
        <f t="shared" si="14"/>
        <v>6.6249972397306207</v>
      </c>
      <c r="L72" s="183">
        <f t="shared" si="14"/>
        <v>6.7359421695825699</v>
      </c>
      <c r="M72" s="14"/>
    </row>
    <row r="73" spans="1:14" ht="7.15" customHeight="1" x14ac:dyDescent="0.25"/>
    <row r="74" spans="1:14" x14ac:dyDescent="0.25">
      <c r="C74" s="1" t="s">
        <v>150</v>
      </c>
      <c r="E74" s="19" t="e">
        <f>SUM(E62:E73)</f>
        <v>#VALUE!</v>
      </c>
      <c r="F74" s="185" t="e">
        <f t="shared" ref="F74:L74" si="15">F3*$E$74</f>
        <v>#VALUE!</v>
      </c>
      <c r="G74" s="185" t="e">
        <f t="shared" si="15"/>
        <v>#VALUE!</v>
      </c>
      <c r="H74" s="185" t="e">
        <f t="shared" si="15"/>
        <v>#VALUE!</v>
      </c>
      <c r="I74" s="185" t="e">
        <f t="shared" si="15"/>
        <v>#VALUE!</v>
      </c>
      <c r="J74" s="185" t="e">
        <f t="shared" si="15"/>
        <v>#VALUE!</v>
      </c>
      <c r="K74" s="185" t="e">
        <f t="shared" si="15"/>
        <v>#VALUE!</v>
      </c>
      <c r="L74" s="185" t="e">
        <f t="shared" si="15"/>
        <v>#VALUE!</v>
      </c>
    </row>
    <row r="75" spans="1:14" ht="7.15" customHeight="1" x14ac:dyDescent="0.25"/>
    <row r="76" spans="1:14" x14ac:dyDescent="0.25">
      <c r="B76" s="35" t="s">
        <v>153</v>
      </c>
      <c r="C76" s="38"/>
      <c r="D76" s="39"/>
      <c r="E76" s="37"/>
      <c r="F76" s="186" t="e">
        <f t="shared" ref="F76:L76" si="16">F3+F74</f>
        <v>#VALUE!</v>
      </c>
      <c r="G76" s="186" t="e">
        <f t="shared" si="16"/>
        <v>#VALUE!</v>
      </c>
      <c r="H76" s="186" t="e">
        <f t="shared" si="16"/>
        <v>#VALUE!</v>
      </c>
      <c r="I76" s="186" t="e">
        <f t="shared" si="16"/>
        <v>#VALUE!</v>
      </c>
      <c r="J76" s="186" t="e">
        <f t="shared" si="16"/>
        <v>#VALUE!</v>
      </c>
      <c r="K76" s="186" t="e">
        <f t="shared" si="16"/>
        <v>#VALUE!</v>
      </c>
      <c r="L76" s="186" t="e">
        <f t="shared" si="16"/>
        <v>#VALUE!</v>
      </c>
    </row>
    <row r="77" spans="1:14" ht="7.15" customHeight="1" x14ac:dyDescent="0.25"/>
    <row r="78" spans="1:14" x14ac:dyDescent="0.25">
      <c r="A78" s="15" t="s">
        <v>151</v>
      </c>
      <c r="B78" s="9" t="s">
        <v>110</v>
      </c>
      <c r="N78" s="23"/>
    </row>
    <row r="79" spans="1:14" x14ac:dyDescent="0.25">
      <c r="B79" t="s">
        <v>111</v>
      </c>
      <c r="D79" s="41">
        <f>IF(ISBLANK(Unternehmensdaten!B79),'Statistische Daten'!E8,Unternehmensdaten!B79)</f>
        <v>1.4999999999999999E-2</v>
      </c>
      <c r="N79" s="23"/>
    </row>
    <row r="80" spans="1:14" x14ac:dyDescent="0.25">
      <c r="A80"/>
      <c r="B80" t="s">
        <v>112</v>
      </c>
      <c r="D80" s="41">
        <f>IF(ISBLANK(Unternehmensdaten!B80),'Statistische Daten'!E9,Unternehmensdaten!B80)</f>
        <v>0.05</v>
      </c>
      <c r="G80"/>
      <c r="N80" s="23"/>
    </row>
    <row r="81" spans="1:14" x14ac:dyDescent="0.25">
      <c r="A81" s="34">
        <f>D81</f>
        <v>6.5000000000000002E-2</v>
      </c>
      <c r="B81" t="s">
        <v>156</v>
      </c>
      <c r="D81" s="19">
        <f>SUM(D79:D80)</f>
        <v>6.5000000000000002E-2</v>
      </c>
      <c r="E81" s="14" t="e">
        <f>F81/F3</f>
        <v>#VALUE!</v>
      </c>
      <c r="F81" s="183" t="e">
        <f>F76*$A$81</f>
        <v>#VALUE!</v>
      </c>
      <c r="G81" s="183" t="e">
        <f t="shared" ref="G81:L81" si="17">G76*$A$81</f>
        <v>#VALUE!</v>
      </c>
      <c r="H81" s="183" t="e">
        <f t="shared" si="17"/>
        <v>#VALUE!</v>
      </c>
      <c r="I81" s="183" t="e">
        <f t="shared" si="17"/>
        <v>#VALUE!</v>
      </c>
      <c r="J81" s="183" t="e">
        <f t="shared" si="17"/>
        <v>#VALUE!</v>
      </c>
      <c r="K81" s="183" t="e">
        <f t="shared" si="17"/>
        <v>#VALUE!</v>
      </c>
      <c r="L81" s="183" t="e">
        <f t="shared" si="17"/>
        <v>#VALUE!</v>
      </c>
      <c r="M81" s="14"/>
    </row>
    <row r="82" spans="1:14" ht="7.15" customHeight="1" x14ac:dyDescent="0.25"/>
    <row r="83" spans="1:14" x14ac:dyDescent="0.25">
      <c r="C83" s="1" t="s">
        <v>155</v>
      </c>
      <c r="E83" s="19" t="e">
        <f>SUM(E74:E82)</f>
        <v>#VALUE!</v>
      </c>
      <c r="F83" s="185" t="e">
        <f>F3*$E$83</f>
        <v>#VALUE!</v>
      </c>
      <c r="G83" s="185" t="e">
        <f t="shared" ref="G83:L83" si="18">G3*$E$83</f>
        <v>#VALUE!</v>
      </c>
      <c r="H83" s="185" t="e">
        <f t="shared" si="18"/>
        <v>#VALUE!</v>
      </c>
      <c r="I83" s="185" t="e">
        <f t="shared" si="18"/>
        <v>#VALUE!</v>
      </c>
      <c r="J83" s="185" t="e">
        <f t="shared" si="18"/>
        <v>#VALUE!</v>
      </c>
      <c r="K83" s="185" t="e">
        <f t="shared" si="18"/>
        <v>#VALUE!</v>
      </c>
      <c r="L83" s="185" t="e">
        <f t="shared" si="18"/>
        <v>#VALUE!</v>
      </c>
    </row>
    <row r="84" spans="1:14" ht="7.15" customHeight="1" x14ac:dyDescent="0.25"/>
    <row r="85" spans="1:14" x14ac:dyDescent="0.25">
      <c r="A85"/>
      <c r="G85"/>
    </row>
    <row r="86" spans="1:14" x14ac:dyDescent="0.25">
      <c r="A86"/>
      <c r="B86" s="35" t="s">
        <v>154</v>
      </c>
      <c r="C86" s="35"/>
      <c r="D86" s="37"/>
      <c r="E86" s="37"/>
      <c r="F86" s="186" t="e">
        <f t="shared" ref="F86:L86" si="19">F3+F83</f>
        <v>#VALUE!</v>
      </c>
      <c r="G86" s="186" t="e">
        <f t="shared" si="19"/>
        <v>#VALUE!</v>
      </c>
      <c r="H86" s="186" t="e">
        <f t="shared" si="19"/>
        <v>#VALUE!</v>
      </c>
      <c r="I86" s="186" t="e">
        <f t="shared" si="19"/>
        <v>#VALUE!</v>
      </c>
      <c r="J86" s="186" t="e">
        <f t="shared" si="19"/>
        <v>#VALUE!</v>
      </c>
      <c r="K86" s="186" t="e">
        <f t="shared" si="19"/>
        <v>#VALUE!</v>
      </c>
      <c r="L86" s="186" t="e">
        <f t="shared" si="19"/>
        <v>#VALUE!</v>
      </c>
    </row>
    <row r="87" spans="1:14" x14ac:dyDescent="0.25">
      <c r="A87"/>
      <c r="G87"/>
    </row>
    <row r="88" spans="1:14" x14ac:dyDescent="0.25">
      <c r="A88"/>
      <c r="B88" t="s">
        <v>114</v>
      </c>
      <c r="C88" s="26">
        <v>0.25</v>
      </c>
      <c r="D88" s="6"/>
      <c r="E88" s="27"/>
      <c r="F88" s="188" t="e">
        <f>(1+$C88)*F$51+F$60+F$72+F$81</f>
        <v>#VALUE!</v>
      </c>
      <c r="G88" s="188" t="e">
        <f t="shared" ref="G88:L88" si="20">(1+$C88)*G$51+G$60+G$72+G$81</f>
        <v>#VALUE!</v>
      </c>
      <c r="H88" s="188" t="e">
        <f t="shared" si="20"/>
        <v>#VALUE!</v>
      </c>
      <c r="I88" s="188" t="e">
        <f t="shared" si="20"/>
        <v>#VALUE!</v>
      </c>
      <c r="J88" s="188" t="e">
        <f t="shared" si="20"/>
        <v>#VALUE!</v>
      </c>
      <c r="K88" s="188" t="e">
        <f t="shared" si="20"/>
        <v>#VALUE!</v>
      </c>
      <c r="L88" s="188" t="e">
        <f t="shared" si="20"/>
        <v>#VALUE!</v>
      </c>
      <c r="N88" s="24"/>
    </row>
    <row r="89" spans="1:14" x14ac:dyDescent="0.25">
      <c r="A89"/>
      <c r="B89" t="s">
        <v>129</v>
      </c>
      <c r="C89" s="26">
        <v>0.5</v>
      </c>
      <c r="D89" s="6"/>
      <c r="E89" s="27"/>
      <c r="F89" s="188" t="e">
        <f t="shared" ref="F89:L96" si="21">(1+$C89)*F$51+F$60+F$72+F$81</f>
        <v>#VALUE!</v>
      </c>
      <c r="G89" s="188" t="e">
        <f t="shared" si="21"/>
        <v>#VALUE!</v>
      </c>
      <c r="H89" s="188" t="e">
        <f t="shared" si="21"/>
        <v>#VALUE!</v>
      </c>
      <c r="I89" s="188" t="e">
        <f t="shared" si="21"/>
        <v>#VALUE!</v>
      </c>
      <c r="J89" s="188" t="e">
        <f t="shared" si="21"/>
        <v>#VALUE!</v>
      </c>
      <c r="K89" s="188" t="e">
        <f t="shared" si="21"/>
        <v>#VALUE!</v>
      </c>
      <c r="L89" s="188" t="e">
        <f t="shared" si="21"/>
        <v>#VALUE!</v>
      </c>
      <c r="N89" s="20"/>
    </row>
    <row r="90" spans="1:14" x14ac:dyDescent="0.25">
      <c r="A90"/>
      <c r="B90" t="s">
        <v>132</v>
      </c>
      <c r="C90" s="26">
        <v>1</v>
      </c>
      <c r="D90" s="6"/>
      <c r="E90" s="27"/>
      <c r="F90" s="188" t="e">
        <f t="shared" si="21"/>
        <v>#VALUE!</v>
      </c>
      <c r="G90" s="188" t="e">
        <f t="shared" si="21"/>
        <v>#VALUE!</v>
      </c>
      <c r="H90" s="188" t="e">
        <f t="shared" si="21"/>
        <v>#VALUE!</v>
      </c>
      <c r="I90" s="188" t="e">
        <f t="shared" si="21"/>
        <v>#VALUE!</v>
      </c>
      <c r="J90" s="188" t="e">
        <f t="shared" si="21"/>
        <v>#VALUE!</v>
      </c>
      <c r="K90" s="188" t="e">
        <f t="shared" si="21"/>
        <v>#VALUE!</v>
      </c>
      <c r="L90" s="188" t="e">
        <f t="shared" si="21"/>
        <v>#VALUE!</v>
      </c>
    </row>
    <row r="91" spans="1:14" x14ac:dyDescent="0.25">
      <c r="A91"/>
      <c r="C91" s="26"/>
      <c r="D91" s="6"/>
      <c r="E91" s="27"/>
      <c r="F91" s="24"/>
      <c r="G91" s="24"/>
      <c r="H91" s="24"/>
      <c r="I91" s="24"/>
      <c r="J91" s="24"/>
      <c r="K91" s="24"/>
      <c r="L91" s="24"/>
    </row>
    <row r="92" spans="1:14" x14ac:dyDescent="0.25">
      <c r="A92"/>
      <c r="B92" s="9" t="s">
        <v>157</v>
      </c>
      <c r="C92" s="26"/>
      <c r="D92" s="6"/>
      <c r="E92" s="27"/>
      <c r="F92" s="24"/>
      <c r="G92" s="24"/>
      <c r="H92" s="24"/>
      <c r="I92" s="24"/>
      <c r="J92" s="24"/>
      <c r="K92" s="24"/>
      <c r="L92" s="24"/>
    </row>
    <row r="93" spans="1:14" x14ac:dyDescent="0.25">
      <c r="B93" t="s">
        <v>134</v>
      </c>
      <c r="C93" s="31">
        <v>1</v>
      </c>
      <c r="F93" s="188" t="e">
        <f t="shared" si="21"/>
        <v>#VALUE!</v>
      </c>
      <c r="G93" s="188" t="e">
        <f t="shared" si="21"/>
        <v>#VALUE!</v>
      </c>
      <c r="H93" s="188" t="e">
        <f t="shared" si="21"/>
        <v>#VALUE!</v>
      </c>
      <c r="I93" s="188" t="e">
        <f t="shared" si="21"/>
        <v>#VALUE!</v>
      </c>
      <c r="J93" s="188" t="e">
        <f t="shared" si="21"/>
        <v>#VALUE!</v>
      </c>
      <c r="K93" s="188" t="e">
        <f t="shared" si="21"/>
        <v>#VALUE!</v>
      </c>
      <c r="L93" s="188" t="e">
        <f t="shared" si="21"/>
        <v>#VALUE!</v>
      </c>
    </row>
    <row r="94" spans="1:14" x14ac:dyDescent="0.25">
      <c r="B94" t="s">
        <v>130</v>
      </c>
      <c r="C94" s="31">
        <v>1.25</v>
      </c>
      <c r="F94" s="188" t="e">
        <f t="shared" si="21"/>
        <v>#VALUE!</v>
      </c>
      <c r="G94" s="188" t="e">
        <f t="shared" si="21"/>
        <v>#VALUE!</v>
      </c>
      <c r="H94" s="188" t="e">
        <f t="shared" si="21"/>
        <v>#VALUE!</v>
      </c>
      <c r="I94" s="188" t="e">
        <f t="shared" si="21"/>
        <v>#VALUE!</v>
      </c>
      <c r="J94" s="188" t="e">
        <f t="shared" si="21"/>
        <v>#VALUE!</v>
      </c>
      <c r="K94" s="188" t="e">
        <f t="shared" si="21"/>
        <v>#VALUE!</v>
      </c>
      <c r="L94" s="188" t="e">
        <f t="shared" si="21"/>
        <v>#VALUE!</v>
      </c>
    </row>
    <row r="95" spans="1:14" x14ac:dyDescent="0.25">
      <c r="B95" t="s">
        <v>133</v>
      </c>
      <c r="C95" s="31">
        <v>1.5</v>
      </c>
      <c r="F95" s="188" t="e">
        <f t="shared" si="21"/>
        <v>#VALUE!</v>
      </c>
      <c r="G95" s="188" t="e">
        <f t="shared" si="21"/>
        <v>#VALUE!</v>
      </c>
      <c r="H95" s="188" t="e">
        <f t="shared" si="21"/>
        <v>#VALUE!</v>
      </c>
      <c r="I95" s="188" t="e">
        <f t="shared" si="21"/>
        <v>#VALUE!</v>
      </c>
      <c r="J95" s="188" t="e">
        <f t="shared" si="21"/>
        <v>#VALUE!</v>
      </c>
      <c r="K95" s="188" t="e">
        <f t="shared" si="21"/>
        <v>#VALUE!</v>
      </c>
      <c r="L95" s="188" t="e">
        <f t="shared" si="21"/>
        <v>#VALUE!</v>
      </c>
    </row>
    <row r="96" spans="1:14" x14ac:dyDescent="0.25">
      <c r="B96" t="s">
        <v>131</v>
      </c>
      <c r="C96" s="31">
        <v>2</v>
      </c>
      <c r="F96" s="188" t="e">
        <f t="shared" si="21"/>
        <v>#VALUE!</v>
      </c>
      <c r="G96" s="188" t="e">
        <f t="shared" si="21"/>
        <v>#VALUE!</v>
      </c>
      <c r="H96" s="188" t="e">
        <f t="shared" si="21"/>
        <v>#VALUE!</v>
      </c>
      <c r="I96" s="188" t="e">
        <f t="shared" si="21"/>
        <v>#VALUE!</v>
      </c>
      <c r="J96" s="188" t="e">
        <f t="shared" si="21"/>
        <v>#VALUE!</v>
      </c>
      <c r="K96" s="188" t="e">
        <f t="shared" si="21"/>
        <v>#VALUE!</v>
      </c>
      <c r="L96" s="188" t="e">
        <f t="shared" si="21"/>
        <v>#VALUE!</v>
      </c>
    </row>
    <row r="102" spans="19:19" x14ac:dyDescent="0.25">
      <c r="S102" s="15"/>
    </row>
    <row r="103" spans="19:19" x14ac:dyDescent="0.25">
      <c r="S103" s="15"/>
    </row>
    <row r="104" spans="19:19" x14ac:dyDescent="0.25">
      <c r="S104" s="15"/>
    </row>
    <row r="105" spans="19:19" x14ac:dyDescent="0.25">
      <c r="S105" s="15"/>
    </row>
    <row r="106" spans="19:19" x14ac:dyDescent="0.25">
      <c r="S106" s="15"/>
    </row>
    <row r="107" spans="19:19" x14ac:dyDescent="0.25">
      <c r="S107" s="15"/>
    </row>
    <row r="108" spans="19:19" x14ac:dyDescent="0.25">
      <c r="S108" s="15"/>
    </row>
    <row r="109" spans="19:19" x14ac:dyDescent="0.25">
      <c r="S109" s="15"/>
    </row>
    <row r="110" spans="19:19" x14ac:dyDescent="0.25">
      <c r="S110" s="15"/>
    </row>
    <row r="111" spans="19:19" x14ac:dyDescent="0.25">
      <c r="S111" s="15"/>
    </row>
    <row r="112" spans="19:19" x14ac:dyDescent="0.25">
      <c r="S112" s="15"/>
    </row>
    <row r="113" spans="19:19" x14ac:dyDescent="0.25">
      <c r="S113" s="15"/>
    </row>
    <row r="114" spans="19:19" x14ac:dyDescent="0.25">
      <c r="S114" s="15"/>
    </row>
    <row r="115" spans="19:19" x14ac:dyDescent="0.25">
      <c r="S115" s="15"/>
    </row>
    <row r="116" spans="19:19" x14ac:dyDescent="0.25">
      <c r="S116" s="15"/>
    </row>
    <row r="117" spans="19:19" x14ac:dyDescent="0.25">
      <c r="S117" s="15"/>
    </row>
    <row r="118" spans="19:19" x14ac:dyDescent="0.25">
      <c r="S118" s="15"/>
    </row>
    <row r="119" spans="19:19" x14ac:dyDescent="0.25">
      <c r="S119" s="15"/>
    </row>
    <row r="120" spans="19:19" x14ac:dyDescent="0.25">
      <c r="S120" s="15"/>
    </row>
    <row r="121" spans="19:19" x14ac:dyDescent="0.25">
      <c r="S121" s="15"/>
    </row>
    <row r="122" spans="19:19" x14ac:dyDescent="0.25">
      <c r="S122" s="15"/>
    </row>
    <row r="123" spans="19:19" x14ac:dyDescent="0.25">
      <c r="S123" s="15"/>
    </row>
    <row r="124" spans="19:19" x14ac:dyDescent="0.25">
      <c r="S124" s="15"/>
    </row>
    <row r="125" spans="19:19" x14ac:dyDescent="0.25">
      <c r="S125" s="15"/>
    </row>
    <row r="126" spans="19:19" x14ac:dyDescent="0.25">
      <c r="S126" s="15"/>
    </row>
    <row r="127" spans="19:19" x14ac:dyDescent="0.25">
      <c r="S127" s="15"/>
    </row>
    <row r="128" spans="19:19" x14ac:dyDescent="0.25">
      <c r="S128" s="15"/>
    </row>
    <row r="129" spans="19:19" x14ac:dyDescent="0.25">
      <c r="S129" s="15"/>
    </row>
    <row r="130" spans="19:19" x14ac:dyDescent="0.25">
      <c r="S130" s="15"/>
    </row>
    <row r="131" spans="19:19" x14ac:dyDescent="0.25">
      <c r="S131" s="15"/>
    </row>
    <row r="132" spans="19:19" x14ac:dyDescent="0.25">
      <c r="S132" s="15"/>
    </row>
    <row r="133" spans="19:19" x14ac:dyDescent="0.25">
      <c r="S133" s="15"/>
    </row>
    <row r="134" spans="19:19" x14ac:dyDescent="0.25">
      <c r="S134" s="15"/>
    </row>
    <row r="135" spans="19:19" x14ac:dyDescent="0.25">
      <c r="S135" s="15"/>
    </row>
    <row r="136" spans="19:19" x14ac:dyDescent="0.25">
      <c r="S136" s="15"/>
    </row>
    <row r="137" spans="19:19" x14ac:dyDescent="0.25">
      <c r="S137" s="15"/>
    </row>
    <row r="138" spans="19:19" x14ac:dyDescent="0.25">
      <c r="S138" s="15"/>
    </row>
    <row r="139" spans="19:19" x14ac:dyDescent="0.25">
      <c r="S139" s="15"/>
    </row>
    <row r="140" spans="19:19" x14ac:dyDescent="0.25">
      <c r="S140" s="15"/>
    </row>
    <row r="141" spans="19:19" x14ac:dyDescent="0.25">
      <c r="S141" s="15"/>
    </row>
    <row r="142" spans="19:19" x14ac:dyDescent="0.25">
      <c r="S142" s="15"/>
    </row>
    <row r="143" spans="19:19" x14ac:dyDescent="0.25">
      <c r="S143" s="15"/>
    </row>
    <row r="144" spans="19:19" x14ac:dyDescent="0.25">
      <c r="S144" s="15"/>
    </row>
    <row r="145" spans="19:19" x14ac:dyDescent="0.25">
      <c r="S145" s="15"/>
    </row>
    <row r="146" spans="19:19" x14ac:dyDescent="0.25">
      <c r="S146" s="15"/>
    </row>
    <row r="147" spans="19:19" x14ac:dyDescent="0.25">
      <c r="S147" s="15"/>
    </row>
    <row r="148" spans="19:19" x14ac:dyDescent="0.25">
      <c r="S148" s="15"/>
    </row>
    <row r="149" spans="19:19" x14ac:dyDescent="0.25">
      <c r="S149" s="15"/>
    </row>
    <row r="150" spans="19:19" x14ac:dyDescent="0.25">
      <c r="S150" s="15"/>
    </row>
  </sheetData>
  <sheetProtection password="CD72" sheet="1" objects="1" scenarios="1"/>
  <pageMargins left="0.7" right="0.7" top="0.78740157499999996" bottom="0.78740157499999996" header="0.3" footer="0.3"/>
  <pageSetup paperSize="9" scale="3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130" zoomScaleNormal="130" workbookViewId="0">
      <selection activeCell="B7" sqref="B7:H7"/>
    </sheetView>
  </sheetViews>
  <sheetFormatPr baseColWidth="10" defaultColWidth="50.28515625" defaultRowHeight="15" x14ac:dyDescent="0.25"/>
  <cols>
    <col min="1" max="1" width="3.5703125" style="10" bestFit="1" customWidth="1"/>
    <col min="2" max="2" width="48.7109375" style="10" bestFit="1" customWidth="1"/>
    <col min="3" max="4" width="12.42578125" style="10" bestFit="1" customWidth="1"/>
    <col min="5" max="5" width="11.85546875" style="10" bestFit="1" customWidth="1"/>
    <col min="6" max="6" width="11.42578125" style="10" bestFit="1" customWidth="1"/>
    <col min="7" max="7" width="12.28515625" style="10" bestFit="1" customWidth="1"/>
    <col min="8" max="8" width="12.85546875" style="10" bestFit="1" customWidth="1"/>
    <col min="9" max="16384" width="50.28515625" style="10"/>
  </cols>
  <sheetData>
    <row r="1" spans="1:10" ht="30" x14ac:dyDescent="0.25">
      <c r="A1" s="7"/>
      <c r="B1" s="255" t="s">
        <v>23</v>
      </c>
      <c r="C1" s="256"/>
      <c r="D1" s="43" t="s">
        <v>71</v>
      </c>
      <c r="E1" s="43" t="s">
        <v>24</v>
      </c>
      <c r="F1" s="43" t="s">
        <v>25</v>
      </c>
      <c r="G1" s="43" t="s">
        <v>26</v>
      </c>
      <c r="H1" s="44" t="s">
        <v>72</v>
      </c>
    </row>
    <row r="2" spans="1:10" x14ac:dyDescent="0.25">
      <c r="A2" s="7"/>
      <c r="B2" s="257" t="s">
        <v>172</v>
      </c>
      <c r="C2" s="258"/>
      <c r="D2" s="64">
        <v>365</v>
      </c>
      <c r="E2" s="64">
        <v>7</v>
      </c>
      <c r="F2" s="64">
        <v>40</v>
      </c>
      <c r="G2" s="64">
        <v>5</v>
      </c>
      <c r="H2" s="65">
        <v>8</v>
      </c>
    </row>
    <row r="3" spans="1:10" x14ac:dyDescent="0.25">
      <c r="A3" s="7"/>
      <c r="B3" s="257" t="s">
        <v>171</v>
      </c>
      <c r="C3" s="258"/>
      <c r="D3" s="64">
        <v>0.25</v>
      </c>
      <c r="E3" s="64"/>
      <c r="F3" s="64"/>
      <c r="G3" s="64"/>
      <c r="H3" s="65"/>
    </row>
    <row r="4" spans="1:10" x14ac:dyDescent="0.25">
      <c r="A4" s="7"/>
      <c r="B4" s="259"/>
      <c r="C4" s="260"/>
      <c r="D4" s="66"/>
      <c r="E4" s="47" t="s">
        <v>67</v>
      </c>
      <c r="F4" s="47" t="s">
        <v>68</v>
      </c>
      <c r="G4" s="47" t="s">
        <v>27</v>
      </c>
      <c r="H4" s="48" t="s">
        <v>69</v>
      </c>
    </row>
    <row r="5" spans="1:10" ht="15.75" thickBot="1" x14ac:dyDescent="0.3">
      <c r="A5" s="7"/>
      <c r="B5" s="261" t="s">
        <v>184</v>
      </c>
      <c r="C5" s="262"/>
      <c r="D5" s="45">
        <f>SUM(D2:D4)</f>
        <v>365.25</v>
      </c>
      <c r="E5" s="45">
        <f>D5/E2</f>
        <v>52.178571428571431</v>
      </c>
      <c r="F5" s="45">
        <f>E5*F2</f>
        <v>2087.1428571428573</v>
      </c>
      <c r="G5" s="45">
        <f>H5*H2/12</f>
        <v>173.92857142857144</v>
      </c>
      <c r="H5" s="46">
        <f>E5*G2</f>
        <v>260.89285714285717</v>
      </c>
    </row>
    <row r="6" spans="1:10" s="68" customFormat="1" ht="7.15" customHeight="1" thickBot="1" x14ac:dyDescent="0.3">
      <c r="A6" s="67"/>
      <c r="B6" s="107"/>
      <c r="C6" s="107"/>
      <c r="D6" s="50"/>
      <c r="E6" s="50"/>
      <c r="F6" s="50"/>
      <c r="G6" s="50"/>
      <c r="H6" s="50"/>
    </row>
    <row r="7" spans="1:10" ht="21.6" customHeight="1" thickBot="1" x14ac:dyDescent="0.3">
      <c r="A7" s="7"/>
      <c r="B7" s="265" t="s">
        <v>28</v>
      </c>
      <c r="C7" s="266"/>
      <c r="D7" s="266"/>
      <c r="E7" s="266"/>
      <c r="F7" s="266"/>
      <c r="G7" s="266"/>
      <c r="H7" s="267"/>
    </row>
    <row r="8" spans="1:10" s="68" customFormat="1" ht="7.15" customHeight="1" thickBot="1" x14ac:dyDescent="0.3">
      <c r="A8" s="67"/>
      <c r="B8" s="107"/>
      <c r="C8" s="107"/>
      <c r="D8" s="50"/>
      <c r="E8" s="50"/>
      <c r="F8" s="50"/>
      <c r="G8" s="50"/>
      <c r="H8" s="50"/>
    </row>
    <row r="9" spans="1:10" x14ac:dyDescent="0.25">
      <c r="A9" s="7"/>
      <c r="B9" s="255" t="s">
        <v>29</v>
      </c>
      <c r="C9" s="256"/>
      <c r="D9" s="256"/>
      <c r="E9" s="263" t="s">
        <v>173</v>
      </c>
      <c r="F9" s="263"/>
      <c r="G9" s="263"/>
      <c r="H9" s="264"/>
      <c r="J9" s="206"/>
    </row>
    <row r="10" spans="1:10" x14ac:dyDescent="0.25">
      <c r="A10" s="7"/>
      <c r="B10" s="239" t="s">
        <v>30</v>
      </c>
      <c r="C10" s="240"/>
      <c r="D10" s="240"/>
      <c r="E10" s="241" t="s">
        <v>188</v>
      </c>
      <c r="F10" s="241"/>
      <c r="G10" s="241" t="s">
        <v>189</v>
      </c>
      <c r="H10" s="254"/>
      <c r="J10" s="206"/>
    </row>
    <row r="11" spans="1:10" x14ac:dyDescent="0.25">
      <c r="A11" s="108"/>
      <c r="B11" s="242" t="s">
        <v>174</v>
      </c>
      <c r="C11" s="243"/>
      <c r="D11" s="109" t="s">
        <v>31</v>
      </c>
      <c r="E11" s="110">
        <f>H5</f>
        <v>260.89285714285717</v>
      </c>
      <c r="F11" s="111"/>
      <c r="G11" s="112">
        <f>E11</f>
        <v>260.89285714285717</v>
      </c>
      <c r="H11" s="113"/>
      <c r="J11" s="206"/>
    </row>
    <row r="12" spans="1:10" x14ac:dyDescent="0.25">
      <c r="A12" s="7"/>
      <c r="B12" s="237" t="s">
        <v>175</v>
      </c>
      <c r="C12" s="238"/>
      <c r="D12" s="69" t="s">
        <v>31</v>
      </c>
      <c r="E12" s="219">
        <f>VLOOKUP(Unternehmensdaten!$B$19,Feiertage,2,0)</f>
        <v>10.49</v>
      </c>
      <c r="F12" s="62">
        <f>E12/E20</f>
        <v>5.0145115580291597E-2</v>
      </c>
      <c r="G12" s="114">
        <f t="shared" ref="G12:G19" si="0">E12</f>
        <v>10.49</v>
      </c>
      <c r="H12" s="70">
        <f>G12/G20</f>
        <v>5.1373001714065836E-2</v>
      </c>
      <c r="J12" s="206"/>
    </row>
    <row r="13" spans="1:10" x14ac:dyDescent="0.25">
      <c r="A13" s="7"/>
      <c r="B13" s="237" t="s">
        <v>213</v>
      </c>
      <c r="C13" s="238"/>
      <c r="D13" s="69" t="s">
        <v>31</v>
      </c>
      <c r="E13" s="219">
        <f>VLOOKUP(Unternehmensdaten!$B$19,Feiertage,3,0)</f>
        <v>0.71</v>
      </c>
      <c r="F13" s="62">
        <f>E13/E20</f>
        <v>3.3939973367022908E-3</v>
      </c>
      <c r="G13" s="114">
        <f t="shared" si="0"/>
        <v>0.71</v>
      </c>
      <c r="H13" s="70">
        <f>G13/G20</f>
        <v>3.4771049777871056E-3</v>
      </c>
      <c r="J13" s="206"/>
    </row>
    <row r="14" spans="1:10" x14ac:dyDescent="0.25">
      <c r="A14" s="7"/>
      <c r="B14" s="237" t="s">
        <v>176</v>
      </c>
      <c r="C14" s="238"/>
      <c r="D14" s="69" t="s">
        <v>31</v>
      </c>
      <c r="E14" s="71">
        <f>E11-E12-E13</f>
        <v>249.69285714285715</v>
      </c>
      <c r="F14" s="62"/>
      <c r="G14" s="114">
        <f t="shared" si="0"/>
        <v>249.69285714285715</v>
      </c>
      <c r="H14" s="70"/>
      <c r="J14" s="206"/>
    </row>
    <row r="15" spans="1:10" x14ac:dyDescent="0.25">
      <c r="A15" s="7"/>
      <c r="B15" s="237" t="s">
        <v>177</v>
      </c>
      <c r="C15" s="238"/>
      <c r="D15" s="69" t="s">
        <v>31</v>
      </c>
      <c r="E15" s="114">
        <v>25</v>
      </c>
      <c r="F15" s="62">
        <f>E15/E20</f>
        <v>0.11950694847543278</v>
      </c>
      <c r="G15" s="114">
        <v>30</v>
      </c>
      <c r="H15" s="70">
        <f>G15/G20</f>
        <v>0.14691992863889181</v>
      </c>
      <c r="J15" s="206"/>
    </row>
    <row r="16" spans="1:10" x14ac:dyDescent="0.25">
      <c r="A16" s="108"/>
      <c r="B16" s="244" t="s">
        <v>178</v>
      </c>
      <c r="C16" s="245"/>
      <c r="D16" s="115" t="s">
        <v>31</v>
      </c>
      <c r="E16" s="116">
        <f>E14-E15</f>
        <v>224.69285714285715</v>
      </c>
      <c r="F16" s="117"/>
      <c r="G16" s="116">
        <f>G14-G15</f>
        <v>219.69285714285715</v>
      </c>
      <c r="H16" s="118"/>
      <c r="I16" s="206"/>
      <c r="J16" s="206"/>
    </row>
    <row r="17" spans="1:10" x14ac:dyDescent="0.25">
      <c r="A17" s="7"/>
      <c r="B17" s="237" t="s">
        <v>179</v>
      </c>
      <c r="C17" s="238"/>
      <c r="D17" s="69" t="s">
        <v>31</v>
      </c>
      <c r="E17" s="219">
        <f>IF(IF(ISERROR(IF(ISBLANK(Unternehmensdaten!B36),ROUNDUP(Unternehmensdaten!B34,0),Unternehmensdaten!B36)),'Statistische Daten'!B8,IF(ISBLANK(Unternehmensdaten!B36),ROUNDUP(Unternehmensdaten!B34,0),Unternehmensdaten!B36))=0,'Statistische Daten'!B8,IF(ISERROR(IF(ISBLANK(Unternehmensdaten!B36),ROUNDUP(Unternehmensdaten!B34,0),Unternehmensdaten!B36)),'Statistische Daten'!B8,IF(ISBLANK(Unternehmensdaten!B36),ROUNDUP(Unternehmensdaten!B34,0),Unternehmensdaten!B36)))</f>
        <v>14</v>
      </c>
      <c r="F17" s="62">
        <f>E17/E20</f>
        <v>6.6923891146242365E-2</v>
      </c>
      <c r="G17" s="114">
        <f t="shared" si="0"/>
        <v>14</v>
      </c>
      <c r="H17" s="70">
        <f>G17/G20</f>
        <v>6.8562633364816175E-2</v>
      </c>
      <c r="I17" s="206"/>
      <c r="J17" s="206"/>
    </row>
    <row r="18" spans="1:10" x14ac:dyDescent="0.25">
      <c r="A18" s="7"/>
      <c r="B18" s="237" t="s">
        <v>180</v>
      </c>
      <c r="C18" s="238"/>
      <c r="D18" s="69" t="s">
        <v>31</v>
      </c>
      <c r="E18" s="219">
        <f>IF(ISERROR(Unternehmensdaten!B37),'Statistische Daten'!B9,IF(ISBLANK(Unternehmensdaten!B37),'Statistische Daten'!B9,IF(Unternehmensdaten!B37=0,'Statistische Daten'!B9,Unternehmensdaten!B37)))</f>
        <v>1.5</v>
      </c>
      <c r="F18" s="62">
        <f>E18/E20</f>
        <v>7.1704169085259669E-3</v>
      </c>
      <c r="G18" s="114">
        <f t="shared" si="0"/>
        <v>1.5</v>
      </c>
      <c r="H18" s="70">
        <f>G18/G20</f>
        <v>7.3459964319445899E-3</v>
      </c>
      <c r="I18" s="206"/>
      <c r="J18" s="206"/>
    </row>
    <row r="19" spans="1:10" x14ac:dyDescent="0.25">
      <c r="A19" s="7"/>
      <c r="B19" s="237" t="s">
        <v>368</v>
      </c>
      <c r="C19" s="238"/>
      <c r="D19" s="69" t="s">
        <v>31</v>
      </c>
      <c r="E19" s="219">
        <f>IF(ISERROR(Unternehmensdaten!B38),0,IF(ISBLANK(Unternehmensdaten!B38),0,IF(Unternehmensdaten!B38=0,0,Unternehmensdaten!B38)))</f>
        <v>0</v>
      </c>
      <c r="F19" s="62">
        <f>E19/E20</f>
        <v>0</v>
      </c>
      <c r="G19" s="114">
        <f t="shared" si="0"/>
        <v>0</v>
      </c>
      <c r="H19" s="70">
        <f>G19/G20</f>
        <v>0</v>
      </c>
      <c r="I19" s="206"/>
      <c r="J19" s="206"/>
    </row>
    <row r="20" spans="1:10" x14ac:dyDescent="0.25">
      <c r="A20" s="7"/>
      <c r="B20" s="246" t="s">
        <v>181</v>
      </c>
      <c r="C20" s="247"/>
      <c r="D20" s="119" t="s">
        <v>31</v>
      </c>
      <c r="E20" s="120">
        <f>E16-E17-E18-E19</f>
        <v>209.19285714285715</v>
      </c>
      <c r="F20" s="51">
        <v>1</v>
      </c>
      <c r="G20" s="120">
        <f>G16-G17-G18-G19</f>
        <v>204.19285714285715</v>
      </c>
      <c r="H20" s="49">
        <v>1</v>
      </c>
      <c r="I20" s="206"/>
      <c r="J20" s="206"/>
    </row>
    <row r="21" spans="1:10" x14ac:dyDescent="0.25">
      <c r="A21" s="108"/>
      <c r="B21" s="246"/>
      <c r="C21" s="247"/>
      <c r="D21" s="119" t="s">
        <v>182</v>
      </c>
      <c r="E21" s="121">
        <f>E20*H2</f>
        <v>1673.5428571428572</v>
      </c>
      <c r="F21" s="122"/>
      <c r="G21" s="121">
        <f>G20*H2</f>
        <v>1633.5428571428572</v>
      </c>
      <c r="H21" s="123"/>
      <c r="I21" s="206"/>
      <c r="J21" s="206"/>
    </row>
    <row r="22" spans="1:10" ht="15.75" thickBot="1" x14ac:dyDescent="0.3">
      <c r="A22" s="7"/>
      <c r="B22" s="248"/>
      <c r="C22" s="249"/>
      <c r="D22" s="72" t="s">
        <v>183</v>
      </c>
      <c r="E22" s="73">
        <f>E21/F2</f>
        <v>41.838571428571427</v>
      </c>
      <c r="F22" s="74"/>
      <c r="G22" s="73">
        <f>G21/F2</f>
        <v>40.838571428571427</v>
      </c>
      <c r="H22" s="75"/>
      <c r="I22" s="206"/>
      <c r="J22" s="206"/>
    </row>
    <row r="23" spans="1:10" s="68" customFormat="1" ht="7.15" customHeight="1" thickBot="1" x14ac:dyDescent="0.3">
      <c r="A23" s="67"/>
      <c r="B23" s="107"/>
      <c r="C23" s="107"/>
      <c r="D23" s="50"/>
      <c r="E23" s="50"/>
      <c r="F23" s="50"/>
      <c r="G23" s="50"/>
      <c r="H23" s="50"/>
    </row>
    <row r="24" spans="1:10" ht="15.75" thickBot="1" x14ac:dyDescent="0.3">
      <c r="A24" s="7"/>
      <c r="B24" s="250" t="s">
        <v>35</v>
      </c>
      <c r="C24" s="251"/>
      <c r="D24" s="76" t="s">
        <v>34</v>
      </c>
      <c r="E24" s="252">
        <f>E21/E5</f>
        <v>32.073374401095137</v>
      </c>
      <c r="F24" s="253"/>
      <c r="G24" s="252">
        <f>G21/E5</f>
        <v>31.306776180698151</v>
      </c>
      <c r="H24" s="269"/>
      <c r="I24" s="206"/>
      <c r="J24" s="206"/>
    </row>
    <row r="25" spans="1:10" s="68" customFormat="1" ht="7.15" customHeight="1" thickBot="1" x14ac:dyDescent="0.3">
      <c r="A25" s="67"/>
      <c r="B25" s="107"/>
      <c r="C25" s="107"/>
      <c r="D25" s="50"/>
      <c r="E25" s="50"/>
      <c r="F25" s="50"/>
      <c r="G25" s="50"/>
      <c r="H25" s="50"/>
    </row>
    <row r="26" spans="1:10" x14ac:dyDescent="0.25">
      <c r="A26" s="7"/>
      <c r="B26" s="270" t="s">
        <v>36</v>
      </c>
      <c r="C26" s="271"/>
      <c r="D26" s="271"/>
      <c r="E26" s="263" t="s">
        <v>173</v>
      </c>
      <c r="F26" s="263"/>
      <c r="G26" s="263"/>
      <c r="H26" s="264"/>
    </row>
    <row r="27" spans="1:10" x14ac:dyDescent="0.25">
      <c r="A27" s="7"/>
      <c r="B27" s="239" t="s">
        <v>30</v>
      </c>
      <c r="C27" s="240"/>
      <c r="D27" s="240"/>
      <c r="E27" s="241" t="s">
        <v>188</v>
      </c>
      <c r="F27" s="241"/>
      <c r="G27" s="241" t="s">
        <v>189</v>
      </c>
      <c r="H27" s="254"/>
    </row>
    <row r="28" spans="1:10" x14ac:dyDescent="0.25">
      <c r="A28" s="108"/>
      <c r="B28" s="280" t="s">
        <v>185</v>
      </c>
      <c r="C28" s="281"/>
      <c r="D28" s="109" t="s">
        <v>31</v>
      </c>
      <c r="E28" s="110">
        <f>E11-E20</f>
        <v>51.700000000000017</v>
      </c>
      <c r="F28" s="52">
        <f>E28/E20</f>
        <v>0.24714036944719509</v>
      </c>
      <c r="G28" s="110">
        <f>G11-G20</f>
        <v>56.700000000000017</v>
      </c>
      <c r="H28" s="53">
        <f>G28/G20</f>
        <v>0.27767866512750561</v>
      </c>
    </row>
    <row r="29" spans="1:10" x14ac:dyDescent="0.25">
      <c r="A29" s="108"/>
      <c r="B29" s="280"/>
      <c r="C29" s="281"/>
      <c r="D29" s="77" t="s">
        <v>182</v>
      </c>
      <c r="E29" s="124">
        <f>E28*8</f>
        <v>413.60000000000014</v>
      </c>
      <c r="F29" s="78"/>
      <c r="G29" s="124">
        <f>G28*8</f>
        <v>453.60000000000014</v>
      </c>
      <c r="H29" s="79"/>
      <c r="J29" s="206"/>
    </row>
    <row r="30" spans="1:10" ht="15.75" thickBot="1" x14ac:dyDescent="0.3">
      <c r="A30" s="108"/>
      <c r="B30" s="282"/>
      <c r="C30" s="283"/>
      <c r="D30" s="80" t="s">
        <v>183</v>
      </c>
      <c r="E30" s="81">
        <f>E29/40</f>
        <v>10.340000000000003</v>
      </c>
      <c r="F30" s="82"/>
      <c r="G30" s="81">
        <f>G29/40</f>
        <v>11.340000000000003</v>
      </c>
      <c r="H30" s="83"/>
      <c r="J30" s="206"/>
    </row>
    <row r="31" spans="1:10" s="68" customFormat="1" ht="7.15" customHeight="1" x14ac:dyDescent="0.25">
      <c r="A31" s="67"/>
      <c r="B31" s="107"/>
      <c r="C31" s="107"/>
      <c r="D31" s="50"/>
      <c r="E31" s="50"/>
      <c r="F31" s="50"/>
      <c r="G31" s="50"/>
      <c r="H31" s="50"/>
    </row>
    <row r="32" spans="1:10" x14ac:dyDescent="0.25">
      <c r="A32" s="7"/>
      <c r="B32" s="274" t="s">
        <v>190</v>
      </c>
      <c r="C32" s="275"/>
      <c r="D32" s="276"/>
      <c r="E32" s="273" t="s">
        <v>187</v>
      </c>
      <c r="F32" s="273"/>
      <c r="G32" s="273"/>
      <c r="H32" s="273"/>
      <c r="J32" s="206"/>
    </row>
    <row r="33" spans="1:10" ht="14.45" customHeight="1" x14ac:dyDescent="0.25">
      <c r="A33" s="7"/>
      <c r="B33" s="277"/>
      <c r="C33" s="278"/>
      <c r="D33" s="279"/>
      <c r="E33" s="272" t="s">
        <v>188</v>
      </c>
      <c r="F33" s="272"/>
      <c r="G33" s="272" t="s">
        <v>189</v>
      </c>
      <c r="H33" s="272"/>
      <c r="J33" s="206"/>
    </row>
    <row r="34" spans="1:10" x14ac:dyDescent="0.25">
      <c r="A34" s="7"/>
      <c r="B34" s="284" t="s">
        <v>191</v>
      </c>
      <c r="C34" s="285"/>
      <c r="D34" s="84" t="s">
        <v>34</v>
      </c>
      <c r="E34" s="125">
        <f>E21</f>
        <v>1673.5428571428572</v>
      </c>
      <c r="F34" s="85">
        <v>1</v>
      </c>
      <c r="G34" s="125">
        <f>G21</f>
        <v>1633.5428571428572</v>
      </c>
      <c r="H34" s="85">
        <v>1</v>
      </c>
      <c r="J34" s="206"/>
    </row>
    <row r="35" spans="1:10" x14ac:dyDescent="0.25">
      <c r="A35" s="7"/>
      <c r="B35" s="286" t="s">
        <v>192</v>
      </c>
      <c r="C35" s="287"/>
      <c r="D35" s="86" t="s">
        <v>34</v>
      </c>
      <c r="E35" s="126">
        <f>E29</f>
        <v>413.60000000000014</v>
      </c>
      <c r="F35" s="57">
        <f>E35/E34</f>
        <v>0.24714036944719509</v>
      </c>
      <c r="G35" s="126">
        <f>G29</f>
        <v>453.60000000000014</v>
      </c>
      <c r="H35" s="57">
        <f>G35/G34</f>
        <v>0.27767866512750561</v>
      </c>
      <c r="J35" s="206"/>
    </row>
    <row r="36" spans="1:10" x14ac:dyDescent="0.25">
      <c r="A36" s="7"/>
      <c r="B36" s="288" t="s">
        <v>193</v>
      </c>
      <c r="C36" s="289"/>
      <c r="D36" s="290"/>
      <c r="E36" s="54">
        <f>E34+E35</f>
        <v>2087.1428571428573</v>
      </c>
      <c r="F36" s="55">
        <f>F34+F35</f>
        <v>1.247140369447195</v>
      </c>
      <c r="G36" s="54">
        <f>G34+G35</f>
        <v>2087.1428571428573</v>
      </c>
      <c r="H36" s="55">
        <f>H34+H35</f>
        <v>1.2776786651275056</v>
      </c>
      <c r="J36" s="206"/>
    </row>
    <row r="37" spans="1:10" x14ac:dyDescent="0.25">
      <c r="A37" s="7"/>
      <c r="B37" s="87" t="s">
        <v>194</v>
      </c>
      <c r="C37" s="58" t="s">
        <v>195</v>
      </c>
      <c r="D37" s="59" t="s">
        <v>196</v>
      </c>
      <c r="E37" s="58"/>
      <c r="F37" s="59"/>
      <c r="G37" s="88"/>
      <c r="H37" s="89"/>
      <c r="J37" s="206"/>
    </row>
    <row r="38" spans="1:10" x14ac:dyDescent="0.25">
      <c r="A38" s="7"/>
      <c r="B38" s="90" t="s">
        <v>197</v>
      </c>
      <c r="C38" s="127">
        <v>173.93</v>
      </c>
      <c r="D38" s="85">
        <f>C38/E36</f>
        <v>8.3334017796030113E-2</v>
      </c>
      <c r="E38" s="128"/>
      <c r="F38" s="91"/>
      <c r="G38" s="92"/>
      <c r="H38" s="93"/>
      <c r="I38" s="94"/>
    </row>
    <row r="39" spans="1:10" x14ac:dyDescent="0.25">
      <c r="A39" s="7"/>
      <c r="B39" s="95" t="s">
        <v>198</v>
      </c>
      <c r="C39" s="129">
        <v>173.93</v>
      </c>
      <c r="D39" s="96">
        <f>C39/E36</f>
        <v>8.3334017796030113E-2</v>
      </c>
      <c r="E39" s="128"/>
      <c r="F39" s="91"/>
      <c r="G39" s="92"/>
      <c r="H39" s="93"/>
    </row>
    <row r="40" spans="1:10" x14ac:dyDescent="0.25">
      <c r="A40" s="7"/>
      <c r="B40" s="130" t="s">
        <v>37</v>
      </c>
      <c r="C40" s="131">
        <f>SUM(C38:C39)</f>
        <v>347.86</v>
      </c>
      <c r="D40" s="132">
        <f>SUM(D38:D39)</f>
        <v>0.16666803559206023</v>
      </c>
      <c r="E40" s="131">
        <f>C40</f>
        <v>347.86</v>
      </c>
      <c r="F40" s="133">
        <f>E40/E34</f>
        <v>0.20785843548332025</v>
      </c>
      <c r="G40" s="97">
        <f>E40</f>
        <v>347.86</v>
      </c>
      <c r="H40" s="133">
        <f>G40/G34</f>
        <v>0.21294819323468708</v>
      </c>
    </row>
    <row r="41" spans="1:10" x14ac:dyDescent="0.25">
      <c r="A41" s="7"/>
      <c r="B41" s="268" t="s">
        <v>199</v>
      </c>
      <c r="C41" s="268"/>
      <c r="D41" s="268"/>
      <c r="E41" s="54">
        <f>E36+E40</f>
        <v>2435.0028571428575</v>
      </c>
      <c r="F41" s="62">
        <f>E41/E34</f>
        <v>1.4549988049305154</v>
      </c>
      <c r="G41" s="54">
        <f>G36+G40</f>
        <v>2435.0028571428575</v>
      </c>
      <c r="H41" s="62">
        <f>G41/G34</f>
        <v>1.4906268583621927</v>
      </c>
    </row>
    <row r="42" spans="1:10" x14ac:dyDescent="0.25">
      <c r="A42" s="7"/>
      <c r="B42" s="134" t="s">
        <v>200</v>
      </c>
      <c r="C42" s="98" t="s">
        <v>39</v>
      </c>
      <c r="D42" s="98" t="s">
        <v>40</v>
      </c>
      <c r="E42" s="141"/>
      <c r="F42" s="144"/>
      <c r="G42" s="88"/>
      <c r="H42" s="89"/>
      <c r="J42" s="206"/>
    </row>
    <row r="43" spans="1:10" x14ac:dyDescent="0.25">
      <c r="A43" s="7"/>
      <c r="B43" s="135" t="s">
        <v>38</v>
      </c>
      <c r="C43" s="99"/>
      <c r="D43" s="100"/>
      <c r="E43" s="142"/>
      <c r="F43" s="142"/>
      <c r="G43" s="92"/>
      <c r="H43" s="93"/>
      <c r="J43" s="206"/>
    </row>
    <row r="44" spans="1:10" x14ac:dyDescent="0.25">
      <c r="A44" s="7"/>
      <c r="B44" s="87" t="s">
        <v>41</v>
      </c>
      <c r="C44" s="101">
        <f>'Österreichische Werte'!B75</f>
        <v>0.1255</v>
      </c>
      <c r="D44" s="85">
        <f>'Österreichische Werte'!B75</f>
        <v>0.1255</v>
      </c>
      <c r="E44" s="60"/>
      <c r="F44" s="103"/>
      <c r="G44" s="92"/>
      <c r="H44" s="93"/>
      <c r="J44" s="206"/>
    </row>
    <row r="45" spans="1:10" x14ac:dyDescent="0.25">
      <c r="A45" s="7"/>
      <c r="B45" s="102" t="s">
        <v>42</v>
      </c>
      <c r="C45" s="60">
        <f>'Österreichische Werte'!B76</f>
        <v>1.2999999999999999E-2</v>
      </c>
      <c r="D45" s="103">
        <f>'Österreichische Werte'!B76</f>
        <v>1.2999999999999999E-2</v>
      </c>
      <c r="E45" s="60"/>
      <c r="F45" s="103"/>
      <c r="G45" s="92"/>
      <c r="H45" s="93"/>
      <c r="J45" s="206"/>
    </row>
    <row r="46" spans="1:10" x14ac:dyDescent="0.25">
      <c r="A46" s="7"/>
      <c r="B46" s="102" t="s">
        <v>43</v>
      </c>
      <c r="C46" s="60">
        <f>'Österreichische Werte'!B77</f>
        <v>3.78E-2</v>
      </c>
      <c r="D46" s="103">
        <f>'Österreichische Werte'!B77</f>
        <v>3.78E-2</v>
      </c>
      <c r="E46" s="60"/>
      <c r="F46" s="103"/>
      <c r="G46" s="92"/>
      <c r="H46" s="93"/>
      <c r="J46" s="206"/>
    </row>
    <row r="47" spans="1:10" x14ac:dyDescent="0.25">
      <c r="A47" s="7"/>
      <c r="B47" s="102" t="s">
        <v>44</v>
      </c>
      <c r="C47" s="60">
        <f>'Österreichische Werte'!B78+'Österreichische Werte'!B79</f>
        <v>3.3500000000000002E-2</v>
      </c>
      <c r="D47" s="103">
        <f>'Österreichische Werte'!B78+'Österreichische Werte'!B79</f>
        <v>3.3500000000000002E-2</v>
      </c>
      <c r="E47" s="60"/>
      <c r="F47" s="103"/>
      <c r="G47" s="92"/>
      <c r="H47" s="93"/>
      <c r="J47" s="206"/>
    </row>
    <row r="48" spans="1:10" x14ac:dyDescent="0.25">
      <c r="A48" s="7"/>
      <c r="B48" s="104" t="s">
        <v>45</v>
      </c>
      <c r="C48" s="56">
        <f>'Österreichische Werte'!B80</f>
        <v>5.0000000000000001E-3</v>
      </c>
      <c r="D48" s="105"/>
      <c r="E48" s="103"/>
      <c r="F48" s="145"/>
      <c r="G48" s="92"/>
      <c r="H48" s="93"/>
      <c r="J48" s="206"/>
    </row>
    <row r="49" spans="1:10" x14ac:dyDescent="0.25">
      <c r="A49" s="7"/>
      <c r="B49" s="63" t="s">
        <v>201</v>
      </c>
      <c r="C49" s="55">
        <f>SUM(C44:C48)</f>
        <v>0.21480000000000002</v>
      </c>
      <c r="D49" s="55">
        <f>SUM(D44:D48)</f>
        <v>0.20980000000000001</v>
      </c>
      <c r="E49" s="60"/>
      <c r="F49" s="146"/>
      <c r="G49" s="92"/>
      <c r="H49" s="93"/>
      <c r="J49" s="206"/>
    </row>
    <row r="50" spans="1:10" x14ac:dyDescent="0.25">
      <c r="A50" s="7"/>
      <c r="B50" s="135" t="s">
        <v>46</v>
      </c>
      <c r="C50" s="136"/>
      <c r="D50" s="137"/>
      <c r="E50" s="142"/>
      <c r="F50" s="142"/>
      <c r="G50" s="92"/>
      <c r="H50" s="93"/>
      <c r="J50" s="206"/>
    </row>
    <row r="51" spans="1:10" x14ac:dyDescent="0.25">
      <c r="A51" s="7"/>
      <c r="B51" s="87" t="s">
        <v>202</v>
      </c>
      <c r="C51" s="101">
        <f>'Österreichische Werte'!B82</f>
        <v>4.4999999999999998E-2</v>
      </c>
      <c r="D51" s="101">
        <f>'Österreichische Werte'!B82</f>
        <v>4.4999999999999998E-2</v>
      </c>
      <c r="E51" s="60"/>
      <c r="F51" s="103"/>
      <c r="G51" s="92"/>
      <c r="H51" s="93"/>
      <c r="J51" s="206"/>
    </row>
    <row r="52" spans="1:10" x14ac:dyDescent="0.25">
      <c r="A52" s="7"/>
      <c r="B52" s="102" t="s">
        <v>203</v>
      </c>
      <c r="C52" s="190">
        <f>VLOOKUP(Unternehmensdaten!B5,DZ,2,0)</f>
        <v>4.0000000000000001E-3</v>
      </c>
      <c r="D52" s="190">
        <f>VLOOKUP(Unternehmensdaten!B5,DZ,2,0)</f>
        <v>4.0000000000000001E-3</v>
      </c>
      <c r="E52" s="60"/>
      <c r="F52" s="103"/>
      <c r="G52" s="92"/>
      <c r="H52" s="93"/>
      <c r="J52" s="206"/>
    </row>
    <row r="53" spans="1:10" x14ac:dyDescent="0.25">
      <c r="A53" s="7"/>
      <c r="B53" s="104" t="s">
        <v>47</v>
      </c>
      <c r="C53" s="56">
        <f>'Österreichische Werte'!B84</f>
        <v>0.03</v>
      </c>
      <c r="D53" s="56">
        <f>'Österreichische Werte'!B84</f>
        <v>0.03</v>
      </c>
      <c r="E53" s="60"/>
      <c r="F53" s="103"/>
      <c r="G53" s="92"/>
      <c r="H53" s="93"/>
      <c r="J53" s="206"/>
    </row>
    <row r="54" spans="1:10" x14ac:dyDescent="0.25">
      <c r="A54" s="7"/>
      <c r="B54" s="63" t="s">
        <v>48</v>
      </c>
      <c r="C54" s="55">
        <f>SUM(C51:C53)</f>
        <v>7.9000000000000001E-2</v>
      </c>
      <c r="D54" s="55">
        <f>SUM(D51:D53)</f>
        <v>7.9000000000000001E-2</v>
      </c>
      <c r="E54" s="60"/>
      <c r="F54" s="146"/>
      <c r="G54" s="92"/>
      <c r="H54" s="93"/>
      <c r="J54" s="206"/>
    </row>
    <row r="55" spans="1:10" x14ac:dyDescent="0.25">
      <c r="A55" s="7"/>
      <c r="B55" s="87" t="s">
        <v>204</v>
      </c>
      <c r="C55" s="101">
        <f>C54+C49</f>
        <v>0.29380000000000001</v>
      </c>
      <c r="D55" s="138"/>
      <c r="E55" s="60"/>
      <c r="F55" s="103"/>
      <c r="G55" s="92"/>
      <c r="H55" s="93"/>
      <c r="J55" s="206"/>
    </row>
    <row r="56" spans="1:10" x14ac:dyDescent="0.25">
      <c r="A56" s="7"/>
      <c r="B56" s="104"/>
      <c r="C56" s="56" t="s">
        <v>49</v>
      </c>
      <c r="D56" s="139"/>
      <c r="E56" s="143">
        <f>F36</f>
        <v>1.247140369447195</v>
      </c>
      <c r="F56" s="103">
        <f>$C$55*E56</f>
        <v>0.36640984054358589</v>
      </c>
      <c r="G56" s="143">
        <f>H36</f>
        <v>1.2776786651275056</v>
      </c>
      <c r="H56" s="103">
        <f>$C$55*G56</f>
        <v>0.37538199181446114</v>
      </c>
      <c r="J56" s="206"/>
    </row>
    <row r="57" spans="1:10" x14ac:dyDescent="0.25">
      <c r="A57" s="7"/>
      <c r="B57" s="87" t="s">
        <v>50</v>
      </c>
      <c r="C57" s="140"/>
      <c r="D57" s="101">
        <f>D54+D49</f>
        <v>0.2888</v>
      </c>
      <c r="E57" s="60"/>
      <c r="F57" s="91"/>
      <c r="G57" s="92"/>
      <c r="H57" s="93"/>
      <c r="J57" s="206"/>
    </row>
    <row r="58" spans="1:10" x14ac:dyDescent="0.25">
      <c r="A58" s="7"/>
      <c r="B58" s="102"/>
      <c r="C58" s="102"/>
      <c r="D58" s="147" t="s">
        <v>51</v>
      </c>
      <c r="E58" s="148">
        <f>F40</f>
        <v>0.20785843548332025</v>
      </c>
      <c r="F58" s="103">
        <f>$D$57*E58</f>
        <v>6.002951616758289E-2</v>
      </c>
      <c r="G58" s="148">
        <f>H40</f>
        <v>0.21294819323468708</v>
      </c>
      <c r="H58" s="103">
        <f>$D$57*G58</f>
        <v>6.1499438206177627E-2</v>
      </c>
      <c r="J58" s="206"/>
    </row>
    <row r="59" spans="1:10" ht="30" x14ac:dyDescent="0.25">
      <c r="A59" s="7"/>
      <c r="B59" s="155" t="s">
        <v>52</v>
      </c>
      <c r="C59" s="149"/>
      <c r="D59" s="150"/>
      <c r="E59" s="151"/>
      <c r="F59" s="154">
        <f>SUM(F56:F58)</f>
        <v>0.42643935671116878</v>
      </c>
      <c r="G59" s="153"/>
      <c r="H59" s="154">
        <f>SUM(H56:H58)</f>
        <v>0.43688143002063878</v>
      </c>
      <c r="J59" s="206"/>
    </row>
    <row r="60" spans="1:10" x14ac:dyDescent="0.25">
      <c r="A60" s="7"/>
      <c r="B60" s="156" t="s">
        <v>205</v>
      </c>
      <c r="C60" s="157"/>
      <c r="D60" s="158"/>
      <c r="E60" s="152"/>
      <c r="F60" s="152">
        <f>1.53%*F41</f>
        <v>2.2261481715436886E-2</v>
      </c>
      <c r="G60" s="159"/>
      <c r="H60" s="152">
        <f>1.53%*H41</f>
        <v>2.2806590932941549E-2</v>
      </c>
      <c r="J60" s="206"/>
    </row>
    <row r="61" spans="1:10" x14ac:dyDescent="0.25">
      <c r="A61" s="7"/>
      <c r="B61" s="156" t="s">
        <v>209</v>
      </c>
      <c r="C61" s="157"/>
      <c r="D61" s="158"/>
      <c r="E61" s="152"/>
      <c r="F61" s="223">
        <f>IF(ISERROR(Kalkulation!$E$47-'Übersicht LZ_NLZ'!F60),0,Kalkulation!$E$47-'Übersicht LZ_NLZ'!F60)</f>
        <v>0</v>
      </c>
      <c r="G61" s="159"/>
      <c r="H61" s="223">
        <f>IF(ISERROR(Kalkulation!$E$47-'Übersicht LZ_NLZ'!F60),0,Kalkulation!$E$47-'Übersicht LZ_NLZ'!F60)</f>
        <v>0</v>
      </c>
      <c r="J61" s="206"/>
    </row>
    <row r="62" spans="1:10" x14ac:dyDescent="0.25">
      <c r="A62" s="7"/>
      <c r="B62" s="156" t="s">
        <v>208</v>
      </c>
      <c r="C62" s="157"/>
      <c r="D62" s="158"/>
      <c r="E62" s="163"/>
      <c r="F62" s="163"/>
      <c r="G62" s="164"/>
      <c r="H62" s="167"/>
      <c r="J62" s="206"/>
    </row>
    <row r="63" spans="1:10" x14ac:dyDescent="0.25">
      <c r="A63" s="7"/>
      <c r="B63" s="170" t="s">
        <v>103</v>
      </c>
      <c r="C63" s="173"/>
      <c r="D63" s="220">
        <f>Kalkulation!D54</f>
        <v>0</v>
      </c>
      <c r="E63" s="146"/>
      <c r="F63" s="146"/>
      <c r="G63" s="165"/>
      <c r="H63" s="168"/>
    </row>
    <row r="64" spans="1:10" x14ac:dyDescent="0.25">
      <c r="A64" s="7"/>
      <c r="B64" s="171" t="s">
        <v>4</v>
      </c>
      <c r="C64" s="174"/>
      <c r="D64" s="221">
        <f>Kalkulation!D55</f>
        <v>0</v>
      </c>
      <c r="E64" s="146"/>
      <c r="F64" s="146"/>
      <c r="G64" s="165"/>
      <c r="H64" s="168"/>
    </row>
    <row r="65" spans="1:10" x14ac:dyDescent="0.25">
      <c r="A65" s="7"/>
      <c r="B65" s="171" t="s">
        <v>206</v>
      </c>
      <c r="C65" s="174"/>
      <c r="D65" s="221">
        <f>Kalkulation!D56</f>
        <v>7.0000000000000062E-3</v>
      </c>
      <c r="E65" s="146"/>
      <c r="F65" s="146"/>
      <c r="G65" s="165"/>
      <c r="H65" s="168"/>
    </row>
    <row r="66" spans="1:10" x14ac:dyDescent="0.25">
      <c r="A66" s="7"/>
      <c r="B66" s="171" t="s">
        <v>136</v>
      </c>
      <c r="C66" s="174"/>
      <c r="D66" s="221">
        <f>Kalkulation!D57</f>
        <v>0</v>
      </c>
      <c r="E66" s="146"/>
      <c r="F66" s="146"/>
      <c r="G66" s="165"/>
      <c r="H66" s="168"/>
      <c r="J66" s="206"/>
    </row>
    <row r="67" spans="1:10" x14ac:dyDescent="0.25">
      <c r="A67" s="7"/>
      <c r="B67" s="172" t="s">
        <v>139</v>
      </c>
      <c r="C67" s="175"/>
      <c r="D67" s="222">
        <f>Kalkulation!D58</f>
        <v>0</v>
      </c>
      <c r="E67" s="133"/>
      <c r="F67" s="133"/>
      <c r="G67" s="166"/>
      <c r="H67" s="169"/>
      <c r="J67" s="206"/>
    </row>
    <row r="68" spans="1:10" x14ac:dyDescent="0.25">
      <c r="A68" s="7"/>
      <c r="B68" s="160" t="s">
        <v>207</v>
      </c>
      <c r="C68" s="157"/>
      <c r="D68" s="162">
        <f>SUM(D63:D67)</f>
        <v>7.0000000000000062E-3</v>
      </c>
      <c r="E68" s="161"/>
      <c r="F68" s="152">
        <f>$D$68*F36</f>
        <v>8.7299825861303724E-3</v>
      </c>
      <c r="G68" s="153"/>
      <c r="H68" s="152">
        <f>$D$68*F36</f>
        <v>8.7299825861303724E-3</v>
      </c>
      <c r="J68" s="206"/>
    </row>
    <row r="69" spans="1:10" ht="18.75" x14ac:dyDescent="0.3">
      <c r="A69" s="7"/>
      <c r="B69" s="176" t="s">
        <v>53</v>
      </c>
      <c r="C69" s="177"/>
      <c r="D69" s="178"/>
      <c r="E69" s="179"/>
      <c r="F69" s="180">
        <f>F35+F40+F59+F60+F61+F68</f>
        <v>0.91242962594325139</v>
      </c>
      <c r="G69" s="179"/>
      <c r="H69" s="181">
        <f>H35+H40+H59+H60+H61+H68</f>
        <v>0.9590448619019033</v>
      </c>
      <c r="J69" s="206"/>
    </row>
    <row r="70" spans="1:10" x14ac:dyDescent="0.25">
      <c r="F70" s="106"/>
      <c r="J70" s="206"/>
    </row>
    <row r="71" spans="1:10" x14ac:dyDescent="0.25">
      <c r="J71" s="206"/>
    </row>
    <row r="72" spans="1:10" x14ac:dyDescent="0.25">
      <c r="I72"/>
      <c r="J72" s="206"/>
    </row>
    <row r="73" spans="1:10" x14ac:dyDescent="0.25">
      <c r="I73"/>
    </row>
    <row r="74" spans="1:10" x14ac:dyDescent="0.25">
      <c r="I74"/>
    </row>
    <row r="75" spans="1:10" x14ac:dyDescent="0.25">
      <c r="I75"/>
    </row>
    <row r="76" spans="1:10" x14ac:dyDescent="0.25">
      <c r="I76"/>
    </row>
  </sheetData>
  <sheetProtection password="CD72" sheet="1" objects="1" scenarios="1"/>
  <mergeCells count="38">
    <mergeCell ref="B41:D41"/>
    <mergeCell ref="G24:H24"/>
    <mergeCell ref="B26:D26"/>
    <mergeCell ref="E26:H26"/>
    <mergeCell ref="G27:H27"/>
    <mergeCell ref="E33:F33"/>
    <mergeCell ref="G33:H33"/>
    <mergeCell ref="E32:H32"/>
    <mergeCell ref="B32:D33"/>
    <mergeCell ref="B28:C30"/>
    <mergeCell ref="B34:C34"/>
    <mergeCell ref="B35:C35"/>
    <mergeCell ref="B36:D36"/>
    <mergeCell ref="G10:H10"/>
    <mergeCell ref="B9:D9"/>
    <mergeCell ref="B1:C1"/>
    <mergeCell ref="B2:C2"/>
    <mergeCell ref="B3:C3"/>
    <mergeCell ref="B4:C4"/>
    <mergeCell ref="B5:C5"/>
    <mergeCell ref="E9:H9"/>
    <mergeCell ref="B7:H7"/>
    <mergeCell ref="B12:C12"/>
    <mergeCell ref="B10:D10"/>
    <mergeCell ref="E10:F10"/>
    <mergeCell ref="B11:C11"/>
    <mergeCell ref="E27:F27"/>
    <mergeCell ref="B13:C13"/>
    <mergeCell ref="B14:C14"/>
    <mergeCell ref="B15:C15"/>
    <mergeCell ref="B16:C16"/>
    <mergeCell ref="B17:C17"/>
    <mergeCell ref="B18:C18"/>
    <mergeCell ref="B19:C19"/>
    <mergeCell ref="B20:C22"/>
    <mergeCell ref="B24:C24"/>
    <mergeCell ref="B27:D27"/>
    <mergeCell ref="E24:F24"/>
  </mergeCells>
  <pageMargins left="0.7" right="0.7" top="0.78740157499999996" bottom="0.78740157499999996" header="0.3" footer="0.3"/>
  <pageSetup paperSize="9" scale="6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86"/>
  <sheetViews>
    <sheetView zoomScaleNormal="100" workbookViewId="0">
      <selection activeCell="B6" sqref="B6"/>
    </sheetView>
  </sheetViews>
  <sheetFormatPr baseColWidth="10" defaultRowHeight="15" x14ac:dyDescent="0.25"/>
  <cols>
    <col min="1" max="1" width="23.7109375" customWidth="1"/>
    <col min="2" max="2" width="12.5703125" bestFit="1" customWidth="1"/>
    <col min="3" max="3" width="18.7109375" customWidth="1"/>
    <col min="4" max="4" width="26" customWidth="1"/>
    <col min="5" max="5" width="17" bestFit="1" customWidth="1"/>
    <col min="7" max="7" width="25.28515625" bestFit="1" customWidth="1"/>
    <col min="8" max="8" width="15.28515625" bestFit="1" customWidth="1"/>
    <col min="10" max="10" width="8.85546875" bestFit="1" customWidth="1"/>
    <col min="11" max="11" width="10.140625" bestFit="1" customWidth="1"/>
    <col min="12" max="12" width="14.5703125" customWidth="1"/>
    <col min="13" max="13" width="14" customWidth="1"/>
    <col min="14" max="14" width="14.42578125" bestFit="1" customWidth="1"/>
    <col min="16" max="16" width="8.85546875" bestFit="1" customWidth="1"/>
    <col min="17" max="17" width="10.140625" bestFit="1" customWidth="1"/>
    <col min="18" max="18" width="14.5703125" bestFit="1" customWidth="1"/>
    <col min="19" max="19" width="14" bestFit="1" customWidth="1"/>
    <col min="20" max="21" width="14.42578125" bestFit="1" customWidth="1"/>
  </cols>
  <sheetData>
    <row r="1" spans="1:21" x14ac:dyDescent="0.25">
      <c r="A1" s="35" t="s">
        <v>5</v>
      </c>
      <c r="B1" s="32"/>
      <c r="C1" s="32"/>
      <c r="D1" s="32"/>
      <c r="E1" s="32"/>
      <c r="F1" s="32"/>
      <c r="G1" s="32"/>
      <c r="H1" s="32"/>
      <c r="I1" s="32"/>
    </row>
    <row r="2" spans="1:21" x14ac:dyDescent="0.25">
      <c r="A2" t="s">
        <v>162</v>
      </c>
      <c r="B2" s="234" t="s">
        <v>159</v>
      </c>
    </row>
    <row r="3" spans="1:21" x14ac:dyDescent="0.25">
      <c r="A3" t="s">
        <v>170</v>
      </c>
      <c r="B3" t="s">
        <v>169</v>
      </c>
    </row>
    <row r="5" spans="1:21" x14ac:dyDescent="0.25">
      <c r="A5" s="42" t="s">
        <v>376</v>
      </c>
      <c r="B5" s="42" t="s">
        <v>161</v>
      </c>
      <c r="C5" s="42" t="s">
        <v>166</v>
      </c>
      <c r="D5" s="42" t="s">
        <v>168</v>
      </c>
      <c r="F5" t="s">
        <v>167</v>
      </c>
      <c r="J5" s="42" t="s">
        <v>314</v>
      </c>
      <c r="K5" s="42" t="s">
        <v>161</v>
      </c>
      <c r="L5" s="42" t="s">
        <v>166</v>
      </c>
      <c r="M5" s="42" t="s">
        <v>168</v>
      </c>
      <c r="N5" s="42" t="s">
        <v>375</v>
      </c>
      <c r="P5" s="42" t="s">
        <v>160</v>
      </c>
      <c r="Q5" s="42" t="s">
        <v>161</v>
      </c>
      <c r="R5" s="42" t="s">
        <v>166</v>
      </c>
      <c r="S5" s="42" t="s">
        <v>168</v>
      </c>
      <c r="T5" s="42" t="s">
        <v>374</v>
      </c>
    </row>
    <row r="6" spans="1:21" x14ac:dyDescent="0.25">
      <c r="A6" t="s">
        <v>163</v>
      </c>
      <c r="B6">
        <v>100</v>
      </c>
      <c r="C6" s="182">
        <v>251</v>
      </c>
      <c r="D6" s="182">
        <f>C6*12</f>
        <v>3012</v>
      </c>
      <c r="J6" t="s">
        <v>163</v>
      </c>
      <c r="K6">
        <v>100</v>
      </c>
      <c r="L6" s="182">
        <v>248</v>
      </c>
      <c r="M6" s="182">
        <f>L6*12</f>
        <v>2976</v>
      </c>
      <c r="N6" s="14">
        <f>C6/L6-1</f>
        <v>1.2096774193548487E-2</v>
      </c>
      <c r="P6" t="s">
        <v>163</v>
      </c>
      <c r="Q6">
        <v>100</v>
      </c>
      <c r="R6" s="182">
        <v>244</v>
      </c>
      <c r="S6" s="182">
        <f>R6*12</f>
        <v>2928</v>
      </c>
      <c r="T6" s="14">
        <f>L6/R6-1</f>
        <v>1.6393442622950838E-2</v>
      </c>
      <c r="U6" s="14">
        <v>1.6393442622950838E-2</v>
      </c>
    </row>
    <row r="7" spans="1:21" x14ac:dyDescent="0.25">
      <c r="A7" t="s">
        <v>164</v>
      </c>
      <c r="B7">
        <v>399</v>
      </c>
      <c r="C7" s="182">
        <v>352</v>
      </c>
      <c r="D7" s="182">
        <f>C7*12</f>
        <v>4224</v>
      </c>
      <c r="E7" t="s">
        <v>326</v>
      </c>
      <c r="F7" s="182">
        <f>IF(Unternehmensdaten!B11&lt;100,'Österreichische Werte'!D6,IF(Unternehmensdaten!B11&lt;399,'Österreichische Werte'!D7,'Österreichische Werte'!D8))</f>
        <v>3012</v>
      </c>
      <c r="J7" t="s">
        <v>164</v>
      </c>
      <c r="K7">
        <v>399</v>
      </c>
      <c r="L7" s="182">
        <v>348</v>
      </c>
      <c r="M7" s="182">
        <f>L7*12</f>
        <v>4176</v>
      </c>
      <c r="N7" s="14">
        <f>C7/L7-1</f>
        <v>1.1494252873563315E-2</v>
      </c>
      <c r="P7" t="s">
        <v>164</v>
      </c>
      <c r="Q7">
        <v>399</v>
      </c>
      <c r="R7" s="182">
        <v>342</v>
      </c>
      <c r="S7" s="182">
        <f>R7*12</f>
        <v>4104</v>
      </c>
      <c r="T7" s="14">
        <f>L7/R7-1</f>
        <v>1.7543859649122862E-2</v>
      </c>
      <c r="U7" s="14">
        <v>1.7543859649122862E-2</v>
      </c>
    </row>
    <row r="8" spans="1:21" x14ac:dyDescent="0.25">
      <c r="A8" t="s">
        <v>165</v>
      </c>
      <c r="B8">
        <v>400</v>
      </c>
      <c r="C8" s="182">
        <v>374</v>
      </c>
      <c r="D8" s="182">
        <f>C8*12</f>
        <v>4488</v>
      </c>
      <c r="J8" t="s">
        <v>165</v>
      </c>
      <c r="K8">
        <v>400</v>
      </c>
      <c r="L8" s="182">
        <v>370</v>
      </c>
      <c r="M8" s="182">
        <f>L8*12</f>
        <v>4440</v>
      </c>
      <c r="N8" s="14">
        <f>C8/L8-1</f>
        <v>1.08108108108107E-2</v>
      </c>
      <c r="P8" t="s">
        <v>165</v>
      </c>
      <c r="Q8">
        <v>400</v>
      </c>
      <c r="R8" s="182">
        <v>364</v>
      </c>
      <c r="S8" s="182">
        <f>R8*12</f>
        <v>4368</v>
      </c>
      <c r="T8" s="14">
        <f>L8/R8-1</f>
        <v>1.6483516483516425E-2</v>
      </c>
      <c r="U8" s="14">
        <v>1.6483516483516425E-2</v>
      </c>
    </row>
    <row r="10" spans="1:21" x14ac:dyDescent="0.25">
      <c r="A10" s="35" t="s">
        <v>6</v>
      </c>
      <c r="B10" s="32"/>
      <c r="C10" s="32"/>
      <c r="D10" s="32"/>
      <c r="E10" s="32"/>
      <c r="F10" s="32"/>
      <c r="G10" s="32"/>
      <c r="H10" s="32"/>
      <c r="I10" s="32"/>
    </row>
    <row r="11" spans="1:21" x14ac:dyDescent="0.25">
      <c r="A11" t="s">
        <v>7</v>
      </c>
      <c r="B11" t="s">
        <v>8</v>
      </c>
    </row>
    <row r="13" spans="1:21" x14ac:dyDescent="0.25">
      <c r="A13" s="28" t="s">
        <v>9</v>
      </c>
      <c r="B13" s="28" t="s">
        <v>378</v>
      </c>
      <c r="C13" s="40" t="s">
        <v>158</v>
      </c>
      <c r="E13" s="28" t="s">
        <v>377</v>
      </c>
      <c r="F13" s="40" t="s">
        <v>158</v>
      </c>
    </row>
    <row r="14" spans="1:21" x14ac:dyDescent="0.25">
      <c r="A14" s="2" t="s">
        <v>10</v>
      </c>
      <c r="B14" s="30">
        <v>4.4000000000000003E-3</v>
      </c>
      <c r="E14" s="2" t="s">
        <v>10</v>
      </c>
      <c r="F14" s="30">
        <v>4.4000000000000003E-3</v>
      </c>
    </row>
    <row r="15" spans="1:21" x14ac:dyDescent="0.25">
      <c r="A15" s="2" t="s">
        <v>11</v>
      </c>
      <c r="B15" s="30">
        <v>4.1000000000000003E-3</v>
      </c>
      <c r="E15" s="2" t="s">
        <v>11</v>
      </c>
      <c r="F15" s="30">
        <v>4.1000000000000003E-3</v>
      </c>
    </row>
    <row r="16" spans="1:21" x14ac:dyDescent="0.25">
      <c r="A16" s="2" t="s">
        <v>12</v>
      </c>
      <c r="B16" s="30">
        <v>4.0000000000000001E-3</v>
      </c>
      <c r="E16" s="2" t="s">
        <v>12</v>
      </c>
      <c r="F16" s="30">
        <v>4.0000000000000001E-3</v>
      </c>
    </row>
    <row r="17" spans="1:13" x14ac:dyDescent="0.25">
      <c r="A17" s="2" t="s">
        <v>13</v>
      </c>
      <c r="B17" s="30">
        <v>3.5999999999999999E-3</v>
      </c>
      <c r="E17" s="2" t="s">
        <v>13</v>
      </c>
      <c r="F17" s="30">
        <v>3.5999999999999999E-3</v>
      </c>
    </row>
    <row r="18" spans="1:13" x14ac:dyDescent="0.25">
      <c r="A18" s="2" t="s">
        <v>14</v>
      </c>
      <c r="B18" s="30">
        <v>4.1999999999999997E-3</v>
      </c>
      <c r="E18" s="2" t="s">
        <v>14</v>
      </c>
      <c r="F18" s="30">
        <v>4.1999999999999997E-3</v>
      </c>
    </row>
    <row r="19" spans="1:13" x14ac:dyDescent="0.25">
      <c r="A19" s="2" t="s">
        <v>15</v>
      </c>
      <c r="B19" s="30">
        <v>3.8999999999999998E-3</v>
      </c>
      <c r="E19" s="2" t="s">
        <v>15</v>
      </c>
      <c r="F19" s="30">
        <v>3.8999999999999998E-3</v>
      </c>
    </row>
    <row r="20" spans="1:13" x14ac:dyDescent="0.25">
      <c r="A20" s="2" t="s">
        <v>16</v>
      </c>
      <c r="B20" s="30">
        <v>4.3E-3</v>
      </c>
      <c r="E20" s="2" t="s">
        <v>16</v>
      </c>
      <c r="F20" s="30">
        <v>4.3E-3</v>
      </c>
    </row>
    <row r="21" spans="1:13" x14ac:dyDescent="0.25">
      <c r="A21" s="2" t="s">
        <v>17</v>
      </c>
      <c r="B21" s="30">
        <v>3.8999999999999998E-3</v>
      </c>
      <c r="E21" s="2" t="s">
        <v>17</v>
      </c>
      <c r="F21" s="30">
        <v>3.8999999999999998E-3</v>
      </c>
    </row>
    <row r="22" spans="1:13" x14ac:dyDescent="0.25">
      <c r="A22" s="2" t="s">
        <v>18</v>
      </c>
      <c r="B22" s="30">
        <v>4.0000000000000001E-3</v>
      </c>
      <c r="E22" s="2" t="s">
        <v>18</v>
      </c>
      <c r="F22" s="30">
        <v>4.0000000000000001E-3</v>
      </c>
    </row>
    <row r="25" spans="1:13" x14ac:dyDescent="0.25">
      <c r="A25" s="35" t="s">
        <v>381</v>
      </c>
      <c r="B25" s="32"/>
      <c r="C25" s="32"/>
      <c r="D25" s="32"/>
      <c r="E25" s="32"/>
      <c r="F25" s="32"/>
      <c r="G25" s="32"/>
      <c r="H25" s="32"/>
      <c r="I25" s="32"/>
    </row>
    <row r="26" spans="1:13" x14ac:dyDescent="0.25">
      <c r="B26" s="42" t="s">
        <v>20</v>
      </c>
      <c r="C26" s="42" t="s">
        <v>215</v>
      </c>
      <c r="D26" s="42" t="s">
        <v>21</v>
      </c>
      <c r="E26" s="42" t="s">
        <v>22</v>
      </c>
    </row>
    <row r="27" spans="1:13" x14ac:dyDescent="0.25">
      <c r="A27" t="s">
        <v>19</v>
      </c>
      <c r="B27" s="183">
        <v>2</v>
      </c>
      <c r="C27">
        <v>4.3499999999999996</v>
      </c>
      <c r="D27" s="183">
        <f>B27*C27</f>
        <v>8.6999999999999993</v>
      </c>
      <c r="E27" s="183">
        <f>D27*12</f>
        <v>104.39999999999999</v>
      </c>
    </row>
    <row r="29" spans="1:13" x14ac:dyDescent="0.25">
      <c r="A29" t="s">
        <v>379</v>
      </c>
      <c r="B29" t="s">
        <v>380</v>
      </c>
    </row>
    <row r="30" spans="1:13" x14ac:dyDescent="0.25">
      <c r="A30" s="35" t="s">
        <v>217</v>
      </c>
      <c r="B30" s="32"/>
      <c r="C30" s="32"/>
      <c r="D30" s="32"/>
      <c r="E30" s="32"/>
      <c r="F30" s="32"/>
      <c r="G30" s="32"/>
      <c r="H30" s="32"/>
      <c r="I30" s="32"/>
      <c r="L30" s="32" t="s">
        <v>216</v>
      </c>
      <c r="M30" s="32" t="s">
        <v>218</v>
      </c>
    </row>
    <row r="31" spans="1:13" x14ac:dyDescent="0.25">
      <c r="A31" s="42" t="s">
        <v>161</v>
      </c>
      <c r="B31" s="42" t="s">
        <v>68</v>
      </c>
      <c r="C31" s="42" t="s">
        <v>284</v>
      </c>
      <c r="D31" s="42" t="s">
        <v>285</v>
      </c>
      <c r="E31" s="42" t="s">
        <v>286</v>
      </c>
      <c r="H31" s="42" t="s">
        <v>401</v>
      </c>
      <c r="L31" s="32"/>
      <c r="M31" s="32" t="s">
        <v>219</v>
      </c>
    </row>
    <row r="32" spans="1:13" x14ac:dyDescent="0.25">
      <c r="A32" s="206">
        <v>200</v>
      </c>
      <c r="B32" s="23">
        <v>150</v>
      </c>
      <c r="C32" s="4">
        <v>10800</v>
      </c>
      <c r="D32" s="4">
        <f>C32/B32</f>
        <v>72</v>
      </c>
      <c r="E32" s="4">
        <f>C32/A32</f>
        <v>54</v>
      </c>
      <c r="F32" s="23" t="s">
        <v>287</v>
      </c>
      <c r="G32" s="236">
        <v>2016</v>
      </c>
      <c r="H32">
        <v>2016</v>
      </c>
      <c r="I32" s="34">
        <v>1.7500000000000002E-2</v>
      </c>
    </row>
    <row r="33" spans="1:12" x14ac:dyDescent="0.25">
      <c r="A33" s="23">
        <v>200</v>
      </c>
      <c r="B33" s="23">
        <v>150</v>
      </c>
      <c r="C33" s="207">
        <f>B33*D33</f>
        <v>10291.147199999999</v>
      </c>
      <c r="D33" s="4">
        <f>64.8*1.038*1.02</f>
        <v>68.607647999999998</v>
      </c>
      <c r="E33" s="207">
        <f>C33/A33</f>
        <v>51.455735999999995</v>
      </c>
      <c r="F33" s="23" t="s">
        <v>287</v>
      </c>
      <c r="G33" s="23" t="s">
        <v>289</v>
      </c>
      <c r="I33" s="31"/>
      <c r="L33" s="32" t="s">
        <v>138</v>
      </c>
    </row>
    <row r="34" spans="1:12" x14ac:dyDescent="0.25">
      <c r="A34" s="23">
        <v>200</v>
      </c>
      <c r="B34" s="23">
        <v>100</v>
      </c>
      <c r="C34" s="207">
        <v>10200</v>
      </c>
      <c r="D34" s="4">
        <f>C34/B34</f>
        <v>102</v>
      </c>
      <c r="E34" s="4">
        <f>C34/A34</f>
        <v>51</v>
      </c>
      <c r="F34" s="23" t="s">
        <v>288</v>
      </c>
      <c r="G34" s="23"/>
      <c r="I34" s="34"/>
    </row>
    <row r="35" spans="1:12" x14ac:dyDescent="0.25">
      <c r="A35" s="23">
        <v>200</v>
      </c>
      <c r="B35" s="23">
        <v>100</v>
      </c>
      <c r="C35" s="207">
        <v>12000</v>
      </c>
      <c r="D35" s="4">
        <f>C35/B35</f>
        <v>120</v>
      </c>
      <c r="E35" s="4">
        <f>C35/A35</f>
        <v>60</v>
      </c>
      <c r="F35" s="23" t="s">
        <v>288</v>
      </c>
      <c r="G35" s="23"/>
    </row>
    <row r="36" spans="1:12" x14ac:dyDescent="0.25">
      <c r="A36" s="23"/>
      <c r="B36" s="23"/>
      <c r="C36" s="207"/>
      <c r="D36" s="4"/>
      <c r="E36" s="4"/>
      <c r="F36" s="23"/>
      <c r="G36" s="23"/>
    </row>
    <row r="37" spans="1:12" x14ac:dyDescent="0.25">
      <c r="A37" s="23"/>
      <c r="B37" s="23"/>
      <c r="C37" s="207"/>
      <c r="D37" s="4" t="s">
        <v>290</v>
      </c>
      <c r="E37" s="4">
        <f>AVERAGE(E32:E33)*(1+I32)</f>
        <v>53.650605690000006</v>
      </c>
      <c r="F37" s="23"/>
      <c r="G37" s="23"/>
    </row>
    <row r="38" spans="1:12" x14ac:dyDescent="0.25">
      <c r="A38" s="23"/>
      <c r="B38" s="23"/>
      <c r="C38" s="207"/>
      <c r="D38" s="4" t="s">
        <v>291</v>
      </c>
      <c r="E38" s="4">
        <f>AVERAGE(E34:E35)*(1+I32)</f>
        <v>56.471250000000005</v>
      </c>
      <c r="F38" s="23"/>
      <c r="G38" s="205" t="s">
        <v>307</v>
      </c>
      <c r="H38" t="s">
        <v>327</v>
      </c>
    </row>
    <row r="39" spans="1:12" x14ac:dyDescent="0.25">
      <c r="D39" t="s">
        <v>292</v>
      </c>
      <c r="E39" s="12">
        <f>SUM(E37:E38)</f>
        <v>110.12185569000002</v>
      </c>
      <c r="G39" s="12">
        <f>E39*Unternehmensdaten!B11</f>
        <v>0</v>
      </c>
      <c r="H39" s="14" t="e">
        <f>G39/Unternehmensdaten!B32</f>
        <v>#DIV/0!</v>
      </c>
    </row>
    <row r="41" spans="1:12" x14ac:dyDescent="0.25">
      <c r="A41" s="35" t="s">
        <v>136</v>
      </c>
      <c r="B41" s="32"/>
      <c r="C41" s="32"/>
      <c r="D41" s="32"/>
      <c r="E41" s="32"/>
      <c r="F41" s="32"/>
      <c r="G41" s="32"/>
      <c r="H41" s="32"/>
      <c r="I41" s="32"/>
    </row>
    <row r="42" spans="1:12" x14ac:dyDescent="0.25">
      <c r="A42" t="s">
        <v>376</v>
      </c>
      <c r="B42" s="183">
        <v>121</v>
      </c>
      <c r="C42" t="s">
        <v>186</v>
      </c>
      <c r="E42" t="s">
        <v>382</v>
      </c>
      <c r="F42" s="183">
        <v>118</v>
      </c>
      <c r="G42" s="14">
        <f>F42/F43-1</f>
        <v>2.6086956521739202E-2</v>
      </c>
      <c r="H42" t="s">
        <v>386</v>
      </c>
    </row>
    <row r="43" spans="1:12" x14ac:dyDescent="0.25">
      <c r="B43" s="14">
        <f>B42/F42-1</f>
        <v>2.5423728813559254E-2</v>
      </c>
      <c r="C43" t="s">
        <v>387</v>
      </c>
      <c r="E43" t="s">
        <v>383</v>
      </c>
      <c r="F43" s="183">
        <v>115</v>
      </c>
      <c r="L43" s="32" t="s">
        <v>137</v>
      </c>
    </row>
    <row r="44" spans="1:12" x14ac:dyDescent="0.25">
      <c r="L44" s="32" t="s">
        <v>220</v>
      </c>
    </row>
    <row r="45" spans="1:12" x14ac:dyDescent="0.25">
      <c r="A45" t="s">
        <v>384</v>
      </c>
      <c r="B45" t="s">
        <v>385</v>
      </c>
    </row>
    <row r="46" spans="1:12" x14ac:dyDescent="0.25">
      <c r="A46" s="35" t="s">
        <v>85</v>
      </c>
      <c r="B46" s="32"/>
      <c r="C46" s="32"/>
      <c r="D46" s="32"/>
      <c r="E46" s="32"/>
      <c r="F46" s="32"/>
      <c r="G46" s="32"/>
      <c r="H46" s="32"/>
      <c r="I46" s="32"/>
    </row>
    <row r="47" spans="1:12" x14ac:dyDescent="0.25">
      <c r="A47" t="s">
        <v>142</v>
      </c>
      <c r="B47" s="34">
        <v>1.5299999999999999E-2</v>
      </c>
    </row>
    <row r="48" spans="1:12" x14ac:dyDescent="0.25">
      <c r="A48" t="s">
        <v>210</v>
      </c>
      <c r="B48" s="34">
        <f>'Übersicht LZ_NLZ'!F60</f>
        <v>2.2261481715436886E-2</v>
      </c>
      <c r="C48" t="s">
        <v>212</v>
      </c>
    </row>
    <row r="49" spans="1:6" x14ac:dyDescent="0.25">
      <c r="A49" t="s">
        <v>211</v>
      </c>
      <c r="B49" s="34">
        <f>'Übersicht LZ_NLZ'!H60</f>
        <v>2.2806590932941549E-2</v>
      </c>
      <c r="C49" t="s">
        <v>212</v>
      </c>
    </row>
    <row r="52" spans="1:6" x14ac:dyDescent="0.25">
      <c r="A52" s="1" t="s">
        <v>271</v>
      </c>
    </row>
    <row r="54" spans="1:6" x14ac:dyDescent="0.25">
      <c r="A54" s="42" t="s">
        <v>272</v>
      </c>
      <c r="B54" s="42" t="s">
        <v>273</v>
      </c>
      <c r="C54" s="42" t="s">
        <v>278</v>
      </c>
      <c r="D54" s="42" t="s">
        <v>274</v>
      </c>
      <c r="E54" s="42" t="s">
        <v>275</v>
      </c>
      <c r="F54" s="42" t="s">
        <v>276</v>
      </c>
    </row>
    <row r="55" spans="1:6" x14ac:dyDescent="0.25">
      <c r="A55">
        <v>3</v>
      </c>
      <c r="B55">
        <f t="shared" ref="B55:B60" si="0">A55*12</f>
        <v>36</v>
      </c>
      <c r="C55">
        <v>2</v>
      </c>
      <c r="D55" s="14">
        <f t="shared" ref="D55:D60" si="1">C55/B55</f>
        <v>5.5555555555555552E-2</v>
      </c>
      <c r="E55" s="26">
        <v>0</v>
      </c>
      <c r="F55" s="34">
        <f t="shared" ref="F55:F60" si="2">D55*E55</f>
        <v>0</v>
      </c>
    </row>
    <row r="56" spans="1:6" x14ac:dyDescent="0.25">
      <c r="A56">
        <v>5</v>
      </c>
      <c r="B56">
        <f t="shared" si="0"/>
        <v>60</v>
      </c>
      <c r="C56">
        <v>3</v>
      </c>
      <c r="D56" s="14">
        <f t="shared" si="1"/>
        <v>0.05</v>
      </c>
      <c r="E56" s="26">
        <v>0</v>
      </c>
      <c r="F56" s="34">
        <f t="shared" si="2"/>
        <v>0</v>
      </c>
    </row>
    <row r="57" spans="1:6" x14ac:dyDescent="0.25">
      <c r="A57" s="200">
        <v>10</v>
      </c>
      <c r="B57" s="200">
        <f t="shared" si="0"/>
        <v>120</v>
      </c>
      <c r="C57" s="200">
        <v>4</v>
      </c>
      <c r="D57" s="201">
        <f t="shared" si="1"/>
        <v>3.3333333333333333E-2</v>
      </c>
      <c r="E57" s="26">
        <v>0</v>
      </c>
      <c r="F57" s="34">
        <f t="shared" si="2"/>
        <v>0</v>
      </c>
    </row>
    <row r="58" spans="1:6" x14ac:dyDescent="0.25">
      <c r="A58">
        <v>15</v>
      </c>
      <c r="B58">
        <f t="shared" si="0"/>
        <v>180</v>
      </c>
      <c r="C58">
        <v>6</v>
      </c>
      <c r="D58" s="14">
        <f t="shared" si="1"/>
        <v>3.3333333333333333E-2</v>
      </c>
      <c r="E58" s="26">
        <v>0</v>
      </c>
      <c r="F58" s="34">
        <f t="shared" si="2"/>
        <v>0</v>
      </c>
    </row>
    <row r="59" spans="1:6" x14ac:dyDescent="0.25">
      <c r="A59">
        <v>20</v>
      </c>
      <c r="B59">
        <f t="shared" si="0"/>
        <v>240</v>
      </c>
      <c r="C59">
        <v>9</v>
      </c>
      <c r="D59" s="14">
        <f t="shared" si="1"/>
        <v>3.7499999999999999E-2</v>
      </c>
      <c r="E59" s="26">
        <v>0</v>
      </c>
      <c r="F59" s="34">
        <f t="shared" si="2"/>
        <v>0</v>
      </c>
    </row>
    <row r="60" spans="1:6" x14ac:dyDescent="0.25">
      <c r="A60">
        <v>25</v>
      </c>
      <c r="B60">
        <f t="shared" si="0"/>
        <v>300</v>
      </c>
      <c r="C60">
        <v>12</v>
      </c>
      <c r="D60" s="14">
        <f t="shared" si="1"/>
        <v>0.04</v>
      </c>
      <c r="E60" s="26">
        <v>0.95</v>
      </c>
      <c r="F60" s="34">
        <f t="shared" si="2"/>
        <v>3.7999999999999999E-2</v>
      </c>
    </row>
    <row r="61" spans="1:6" x14ac:dyDescent="0.25">
      <c r="D61" t="s">
        <v>277</v>
      </c>
      <c r="E61" s="26">
        <v>0.05</v>
      </c>
      <c r="F61" s="34"/>
    </row>
    <row r="62" spans="1:6" x14ac:dyDescent="0.25">
      <c r="E62" s="197">
        <f>SUM(E55:E61)</f>
        <v>1</v>
      </c>
      <c r="F62" s="202">
        <f>SUM(F55:F61)</f>
        <v>3.7999999999999999E-2</v>
      </c>
    </row>
    <row r="65" spans="1:9" x14ac:dyDescent="0.25">
      <c r="A65" s="35" t="s">
        <v>388</v>
      </c>
      <c r="B65" s="32"/>
      <c r="C65" s="32"/>
      <c r="D65" s="32"/>
      <c r="E65" s="32"/>
      <c r="F65" s="32"/>
      <c r="G65" s="32"/>
      <c r="H65" s="32"/>
      <c r="I65" s="32"/>
    </row>
    <row r="66" spans="1:9" x14ac:dyDescent="0.25">
      <c r="A66" t="s">
        <v>313</v>
      </c>
      <c r="B66" s="34">
        <v>3.5000000000000001E-3</v>
      </c>
      <c r="D66" t="s">
        <v>382</v>
      </c>
      <c r="E66" s="34">
        <v>4.4999999999999997E-3</v>
      </c>
      <c r="F66" s="235">
        <v>42005</v>
      </c>
    </row>
    <row r="67" spans="1:9" x14ac:dyDescent="0.25">
      <c r="D67" t="s">
        <v>383</v>
      </c>
      <c r="E67" s="34">
        <v>5.0000000000000001E-3</v>
      </c>
    </row>
    <row r="69" spans="1:9" x14ac:dyDescent="0.25">
      <c r="A69" t="s">
        <v>390</v>
      </c>
    </row>
    <row r="70" spans="1:9" x14ac:dyDescent="0.25">
      <c r="A70" t="s">
        <v>162</v>
      </c>
      <c r="B70" t="s">
        <v>389</v>
      </c>
    </row>
    <row r="73" spans="1:9" x14ac:dyDescent="0.25">
      <c r="A73" s="35" t="s">
        <v>391</v>
      </c>
      <c r="B73" s="32"/>
      <c r="C73" s="32"/>
      <c r="D73" s="32"/>
      <c r="E73" s="32"/>
      <c r="F73" s="32"/>
      <c r="G73" s="32"/>
      <c r="H73" s="32"/>
      <c r="I73" s="32"/>
    </row>
    <row r="74" spans="1:9" x14ac:dyDescent="0.25">
      <c r="A74" s="1" t="s">
        <v>392</v>
      </c>
      <c r="B74" t="s">
        <v>393</v>
      </c>
      <c r="C74" t="s">
        <v>396</v>
      </c>
    </row>
    <row r="75" spans="1:9" x14ac:dyDescent="0.25">
      <c r="A75" t="s">
        <v>41</v>
      </c>
      <c r="B75" s="14">
        <v>0.1255</v>
      </c>
      <c r="C75" s="14">
        <v>0.1255</v>
      </c>
    </row>
    <row r="76" spans="1:9" x14ac:dyDescent="0.25">
      <c r="A76" t="s">
        <v>42</v>
      </c>
      <c r="B76" s="14">
        <v>1.2999999999999999E-2</v>
      </c>
      <c r="C76" s="14">
        <v>1.2999999999999999E-2</v>
      </c>
    </row>
    <row r="77" spans="1:9" x14ac:dyDescent="0.25">
      <c r="A77" t="s">
        <v>43</v>
      </c>
      <c r="B77" s="14">
        <v>3.78E-2</v>
      </c>
      <c r="C77" s="14">
        <v>3.6999999999999998E-2</v>
      </c>
    </row>
    <row r="78" spans="1:9" x14ac:dyDescent="0.25">
      <c r="A78" t="s">
        <v>394</v>
      </c>
      <c r="B78" s="14">
        <v>0.03</v>
      </c>
      <c r="C78" s="14">
        <f>3%+0.45%</f>
        <v>3.4500000000000003E-2</v>
      </c>
    </row>
    <row r="79" spans="1:9" x14ac:dyDescent="0.25">
      <c r="A79" t="s">
        <v>313</v>
      </c>
      <c r="B79" s="14">
        <v>3.5000000000000001E-3</v>
      </c>
      <c r="C79" s="14">
        <v>5.0000000000000001E-3</v>
      </c>
    </row>
    <row r="80" spans="1:9" x14ac:dyDescent="0.25">
      <c r="A80" t="s">
        <v>122</v>
      </c>
      <c r="B80" s="14">
        <v>5.0000000000000001E-3</v>
      </c>
      <c r="C80" s="20">
        <v>5.0000000000000001E-3</v>
      </c>
    </row>
    <row r="81" spans="1:3" x14ac:dyDescent="0.25">
      <c r="B81" s="14">
        <f>SUM(B75:B80)</f>
        <v>0.21480000000000002</v>
      </c>
      <c r="C81" s="14">
        <f>SUM(C75:C80)</f>
        <v>0.22000000000000003</v>
      </c>
    </row>
    <row r="82" spans="1:3" x14ac:dyDescent="0.25">
      <c r="A82" t="s">
        <v>395</v>
      </c>
      <c r="B82" s="14">
        <v>4.4999999999999998E-2</v>
      </c>
      <c r="C82" s="14">
        <f>4.5%</f>
        <v>4.4999999999999998E-2</v>
      </c>
    </row>
    <row r="83" spans="1:3" x14ac:dyDescent="0.25">
      <c r="A83" t="s">
        <v>87</v>
      </c>
      <c r="B83" s="14"/>
      <c r="C83" s="41"/>
    </row>
    <row r="84" spans="1:3" x14ac:dyDescent="0.25">
      <c r="A84" t="s">
        <v>47</v>
      </c>
      <c r="B84" s="14">
        <v>0.03</v>
      </c>
      <c r="C84" s="14">
        <v>0.03</v>
      </c>
    </row>
    <row r="85" spans="1:3" x14ac:dyDescent="0.25">
      <c r="B85" s="14"/>
    </row>
    <row r="86" spans="1:3" x14ac:dyDescent="0.25">
      <c r="A86" t="s">
        <v>398</v>
      </c>
      <c r="B86" t="s">
        <v>397</v>
      </c>
    </row>
  </sheetData>
  <sheetProtection password="CD72" sheet="1" objects="1" scenarios="1"/>
  <hyperlinks>
    <hyperlink ref="B2" r:id="rId1"/>
  </hyperlinks>
  <pageMargins left="0.7" right="0.7" top="0.78740157499999996" bottom="0.78740157499999996" header="0.3" footer="0.3"/>
  <pageSetup paperSize="9" scale="55" orientation="portrait"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
  <sheetViews>
    <sheetView workbookViewId="0">
      <selection activeCell="B3" sqref="B3"/>
    </sheetView>
  </sheetViews>
  <sheetFormatPr baseColWidth="10" defaultRowHeight="15" x14ac:dyDescent="0.25"/>
  <cols>
    <col min="2" max="2" width="25.85546875" bestFit="1" customWidth="1"/>
    <col min="3" max="3" width="16.5703125" bestFit="1" customWidth="1"/>
    <col min="7" max="7" width="38.140625" bestFit="1" customWidth="1"/>
  </cols>
  <sheetData>
    <row r="1" spans="1:7" x14ac:dyDescent="0.25">
      <c r="A1" s="1" t="s">
        <v>59</v>
      </c>
      <c r="B1" s="1" t="s">
        <v>60</v>
      </c>
      <c r="C1" s="1" t="s">
        <v>58</v>
      </c>
      <c r="D1" s="1">
        <v>2016</v>
      </c>
    </row>
    <row r="2" spans="1:7" x14ac:dyDescent="0.25">
      <c r="A2">
        <v>1</v>
      </c>
      <c r="B2" t="s">
        <v>61</v>
      </c>
      <c r="C2" s="183">
        <v>10.199999999999999</v>
      </c>
      <c r="G2" s="8" t="s">
        <v>54</v>
      </c>
    </row>
    <row r="3" spans="1:7" x14ac:dyDescent="0.25">
      <c r="A3">
        <v>2</v>
      </c>
      <c r="B3" t="s">
        <v>62</v>
      </c>
      <c r="C3" s="183">
        <v>9.24</v>
      </c>
      <c r="G3" t="s">
        <v>55</v>
      </c>
    </row>
    <row r="4" spans="1:7" x14ac:dyDescent="0.25">
      <c r="A4">
        <v>3</v>
      </c>
      <c r="B4" t="s">
        <v>63</v>
      </c>
      <c r="C4" s="183">
        <v>9.02</v>
      </c>
      <c r="G4" s="8" t="s">
        <v>56</v>
      </c>
    </row>
    <row r="5" spans="1:7" x14ac:dyDescent="0.25">
      <c r="A5">
        <v>4</v>
      </c>
      <c r="B5" t="s">
        <v>64</v>
      </c>
      <c r="C5" s="183">
        <v>8.75</v>
      </c>
      <c r="G5" t="s">
        <v>57</v>
      </c>
    </row>
    <row r="6" spans="1:7" x14ac:dyDescent="0.25">
      <c r="A6">
        <v>5</v>
      </c>
      <c r="B6" t="s">
        <v>65</v>
      </c>
      <c r="C6" s="183">
        <v>8.42</v>
      </c>
    </row>
    <row r="7" spans="1:7" x14ac:dyDescent="0.25">
      <c r="A7">
        <v>6</v>
      </c>
      <c r="B7" t="s">
        <v>66</v>
      </c>
      <c r="C7" s="183">
        <v>8.36</v>
      </c>
    </row>
    <row r="8" spans="1:7" x14ac:dyDescent="0.25">
      <c r="C8" s="183"/>
    </row>
    <row r="9" spans="1:7" x14ac:dyDescent="0.25">
      <c r="B9" t="s">
        <v>304</v>
      </c>
      <c r="C9" s="183">
        <v>10.1</v>
      </c>
    </row>
    <row r="10" spans="1:7" x14ac:dyDescent="0.25">
      <c r="B10" t="s">
        <v>305</v>
      </c>
      <c r="C10" s="183">
        <v>16.899999999999999</v>
      </c>
    </row>
  </sheetData>
  <sheetProtection password="CD72" sheet="1" objects="1" scenarios="1"/>
  <pageMargins left="0.7" right="0.7" top="0.78740157499999996" bottom="0.78740157499999996" header="0.3" footer="0.3"/>
  <pageSetup paperSize="9" scale="6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79"/>
  <sheetViews>
    <sheetView workbookViewId="0">
      <selection activeCell="B5" sqref="B5"/>
    </sheetView>
  </sheetViews>
  <sheetFormatPr baseColWidth="10" defaultRowHeight="15" x14ac:dyDescent="0.25"/>
  <cols>
    <col min="1" max="1" width="31.85546875" customWidth="1"/>
    <col min="2" max="2" width="21.28515625" bestFit="1" customWidth="1"/>
    <col min="3" max="3" width="29.42578125" bestFit="1" customWidth="1"/>
    <col min="4" max="4" width="19.140625" customWidth="1"/>
    <col min="5" max="5" width="26" bestFit="1" customWidth="1"/>
    <col min="6" max="6" width="21.140625" customWidth="1"/>
    <col min="7" max="7" width="36.7109375" bestFit="1" customWidth="1"/>
    <col min="8" max="8" width="18.85546875" bestFit="1" customWidth="1"/>
    <col min="11" max="11" width="23.28515625" bestFit="1" customWidth="1"/>
  </cols>
  <sheetData>
    <row r="1" spans="1:7" x14ac:dyDescent="0.25">
      <c r="A1" s="210" t="s">
        <v>225</v>
      </c>
      <c r="B1" s="211"/>
      <c r="C1" s="211"/>
      <c r="D1" s="211"/>
      <c r="E1" s="211"/>
      <c r="F1" s="211"/>
      <c r="G1" s="211"/>
    </row>
    <row r="2" spans="1:7" ht="14.45" customHeight="1" x14ac:dyDescent="0.25">
      <c r="B2" s="42" t="s">
        <v>70</v>
      </c>
      <c r="C2" s="42" t="s">
        <v>226</v>
      </c>
      <c r="D2" s="42" t="s">
        <v>228</v>
      </c>
    </row>
    <row r="3" spans="1:7" ht="14.45" customHeight="1" x14ac:dyDescent="0.25">
      <c r="A3" s="10" t="s">
        <v>227</v>
      </c>
      <c r="B3" s="61">
        <v>10.49</v>
      </c>
      <c r="C3" s="61">
        <v>0.71</v>
      </c>
      <c r="D3" s="61">
        <f>SUM(B3:C3)</f>
        <v>11.2</v>
      </c>
      <c r="F3" t="s">
        <v>370</v>
      </c>
    </row>
    <row r="4" spans="1:7" x14ac:dyDescent="0.25">
      <c r="A4" s="10" t="s">
        <v>369</v>
      </c>
      <c r="B4" s="61">
        <v>11</v>
      </c>
      <c r="C4" s="61">
        <v>0</v>
      </c>
      <c r="D4" s="61">
        <f>SUM(B4:C4)</f>
        <v>11</v>
      </c>
      <c r="F4" t="s">
        <v>371</v>
      </c>
    </row>
    <row r="7" spans="1:7" x14ac:dyDescent="0.25">
      <c r="A7" s="1" t="s">
        <v>372</v>
      </c>
      <c r="F7" t="s">
        <v>373</v>
      </c>
    </row>
    <row r="8" spans="1:7" ht="14.45" customHeight="1" x14ac:dyDescent="0.25">
      <c r="A8" t="s">
        <v>32</v>
      </c>
      <c r="B8">
        <v>14</v>
      </c>
      <c r="D8" t="s">
        <v>322</v>
      </c>
      <c r="E8" s="34">
        <v>1.4999999999999999E-2</v>
      </c>
    </row>
    <row r="9" spans="1:7" ht="14.45" customHeight="1" x14ac:dyDescent="0.25">
      <c r="A9" t="s">
        <v>33</v>
      </c>
      <c r="B9">
        <v>1.5</v>
      </c>
      <c r="D9" t="s">
        <v>112</v>
      </c>
      <c r="E9" s="31">
        <v>0.05</v>
      </c>
    </row>
    <row r="13" spans="1:7" x14ac:dyDescent="0.25">
      <c r="A13" s="210" t="s">
        <v>234</v>
      </c>
      <c r="B13" s="211"/>
      <c r="C13" s="211"/>
      <c r="D13" s="211"/>
      <c r="E13" s="211"/>
      <c r="F13" s="211"/>
      <c r="G13" s="211"/>
    </row>
    <row r="14" spans="1:7" x14ac:dyDescent="0.25">
      <c r="A14" s="1"/>
    </row>
    <row r="15" spans="1:7" x14ac:dyDescent="0.25">
      <c r="A15" s="1"/>
      <c r="B15" s="42" t="s">
        <v>241</v>
      </c>
      <c r="C15" s="42" t="s">
        <v>264</v>
      </c>
      <c r="D15" s="42" t="s">
        <v>266</v>
      </c>
      <c r="E15" s="42" t="s">
        <v>267</v>
      </c>
      <c r="F15" s="42" t="s">
        <v>268</v>
      </c>
    </row>
    <row r="16" spans="1:7" x14ac:dyDescent="0.25">
      <c r="A16" s="1" t="s">
        <v>235</v>
      </c>
      <c r="B16" s="6">
        <v>35000</v>
      </c>
      <c r="C16" s="6"/>
      <c r="D16" s="6"/>
      <c r="E16" s="6"/>
      <c r="F16" s="6"/>
    </row>
    <row r="17" spans="1:7" x14ac:dyDescent="0.25">
      <c r="A17" s="1" t="s">
        <v>73</v>
      </c>
      <c r="B17" s="191"/>
      <c r="C17" s="191"/>
      <c r="D17" s="191"/>
      <c r="E17" s="191"/>
      <c r="F17" s="191"/>
    </row>
    <row r="18" spans="1:7" x14ac:dyDescent="0.25">
      <c r="A18" t="s">
        <v>230</v>
      </c>
      <c r="B18" s="6">
        <v>2100</v>
      </c>
      <c r="C18" s="6">
        <v>29600</v>
      </c>
      <c r="D18" s="6">
        <v>219500</v>
      </c>
      <c r="E18" s="6">
        <v>348410</v>
      </c>
      <c r="F18" s="6">
        <v>417000</v>
      </c>
    </row>
    <row r="19" spans="1:7" x14ac:dyDescent="0.25">
      <c r="A19" t="s">
        <v>243</v>
      </c>
      <c r="B19" s="14">
        <f>B18/B$28</f>
        <v>6.0258249641319941E-2</v>
      </c>
      <c r="C19" s="14">
        <f>C18/C$28</f>
        <v>4.023980750146141E-2</v>
      </c>
      <c r="D19" s="14">
        <f>D18/D$28</f>
        <v>7.9743657745307117E-2</v>
      </c>
      <c r="E19" s="14">
        <f>E18/E$28</f>
        <v>3.9729156190169937E-2</v>
      </c>
      <c r="F19" s="14">
        <f>F18/F$28</f>
        <v>2.2946583435318149E-2</v>
      </c>
    </row>
    <row r="20" spans="1:7" x14ac:dyDescent="0.25">
      <c r="A20" t="s">
        <v>75</v>
      </c>
      <c r="B20" s="6">
        <v>2740</v>
      </c>
      <c r="C20" s="6">
        <v>85900</v>
      </c>
      <c r="D20" s="6">
        <v>131760</v>
      </c>
      <c r="E20" s="6">
        <v>594410</v>
      </c>
      <c r="F20" s="6">
        <v>1336300</v>
      </c>
    </row>
    <row r="21" spans="1:7" x14ac:dyDescent="0.25">
      <c r="A21" t="s">
        <v>244</v>
      </c>
      <c r="B21" s="14">
        <f>B20/B$28</f>
        <v>7.8622668579626978E-2</v>
      </c>
      <c r="C21" s="14">
        <f>C20/C$28</f>
        <v>0.11677700893160592</v>
      </c>
      <c r="D21" s="14">
        <f>D20/D$28</f>
        <v>4.7867992457957476E-2</v>
      </c>
      <c r="E21" s="14">
        <f>E20/E$28</f>
        <v>6.7780510694293833E-2</v>
      </c>
      <c r="F21" s="14">
        <f>F20/F$28</f>
        <v>7.3533619771260536E-2</v>
      </c>
    </row>
    <row r="22" spans="1:7" x14ac:dyDescent="0.25">
      <c r="A22" t="s">
        <v>231</v>
      </c>
      <c r="B22" s="6">
        <v>20340</v>
      </c>
      <c r="C22" s="6">
        <v>456650</v>
      </c>
      <c r="D22" s="6">
        <v>1884400</v>
      </c>
      <c r="E22" s="6">
        <v>6584790</v>
      </c>
      <c r="F22" s="6">
        <v>13693400</v>
      </c>
      <c r="G22" s="198">
        <f>788704/F22</f>
        <v>5.7597382680707493E-2</v>
      </c>
    </row>
    <row r="23" spans="1:7" x14ac:dyDescent="0.25">
      <c r="A23" t="s">
        <v>245</v>
      </c>
      <c r="B23" s="14">
        <f>B22/B$28</f>
        <v>0.58364418938307028</v>
      </c>
      <c r="C23" s="14">
        <f>C22/C$28</f>
        <v>0.62079419241697142</v>
      </c>
      <c r="D23" s="14">
        <f>D22/D$28</f>
        <v>0.68459657701711496</v>
      </c>
      <c r="E23" s="14">
        <f>E22/E$28</f>
        <v>0.75086292124069087</v>
      </c>
      <c r="F23" s="14">
        <f>F22/F$28</f>
        <v>0.75351737557118836</v>
      </c>
    </row>
    <row r="24" spans="1:7" x14ac:dyDescent="0.25">
      <c r="A24" t="s">
        <v>246</v>
      </c>
      <c r="B24" s="6">
        <v>9240</v>
      </c>
      <c r="C24" s="6">
        <v>152800</v>
      </c>
      <c r="D24" s="6">
        <v>483060</v>
      </c>
      <c r="E24" s="6">
        <v>1164970</v>
      </c>
      <c r="F24" s="6">
        <v>2623370</v>
      </c>
    </row>
    <row r="25" spans="1:7" x14ac:dyDescent="0.25">
      <c r="A25" t="s">
        <v>247</v>
      </c>
      <c r="B25" s="14">
        <f>B24/B$28</f>
        <v>0.26513629842180775</v>
      </c>
      <c r="C25" s="14">
        <f>C24/C$28</f>
        <v>0.20772441169673322</v>
      </c>
      <c r="D25" s="14">
        <f>D24/D$28</f>
        <v>0.17549417453507085</v>
      </c>
      <c r="E25" s="14">
        <f>E24/E$28</f>
        <v>0.13284140836044395</v>
      </c>
      <c r="F25" s="14">
        <f>F24/F$28</f>
        <v>0.14435822203048099</v>
      </c>
    </row>
    <row r="26" spans="1:7" x14ac:dyDescent="0.25">
      <c r="A26" t="s">
        <v>232</v>
      </c>
      <c r="B26" s="6">
        <v>430</v>
      </c>
      <c r="C26" s="6">
        <v>10640</v>
      </c>
      <c r="D26" s="6">
        <v>33850</v>
      </c>
      <c r="E26" s="6">
        <v>77050</v>
      </c>
      <c r="F26" s="6">
        <v>102570</v>
      </c>
    </row>
    <row r="27" spans="1:7" x14ac:dyDescent="0.25">
      <c r="A27" t="s">
        <v>232</v>
      </c>
      <c r="B27" s="14">
        <f>B26/B$28</f>
        <v>1.2338593974175036E-2</v>
      </c>
      <c r="C27" s="14">
        <f>C26/C$28</f>
        <v>1.4464579453228021E-2</v>
      </c>
      <c r="D27" s="14">
        <f>D26/D$28</f>
        <v>1.2297598244549639E-2</v>
      </c>
      <c r="E27" s="14">
        <f>E26/E$28</f>
        <v>8.7860035144014057E-3</v>
      </c>
      <c r="F27" s="14">
        <f>F26/F$28</f>
        <v>5.6441991917519961E-3</v>
      </c>
    </row>
    <row r="28" spans="1:7" s="1" customFormat="1" x14ac:dyDescent="0.25">
      <c r="A28" s="1" t="s">
        <v>233</v>
      </c>
      <c r="B28" s="22">
        <f t="shared" ref="B28:F29" si="0">B18+B20+B22+B24+B26</f>
        <v>34850</v>
      </c>
      <c r="C28" s="22">
        <f t="shared" si="0"/>
        <v>735590</v>
      </c>
      <c r="D28" s="22">
        <f t="shared" si="0"/>
        <v>2752570</v>
      </c>
      <c r="E28" s="22">
        <f t="shared" si="0"/>
        <v>8769630</v>
      </c>
      <c r="F28" s="22">
        <f t="shared" si="0"/>
        <v>18172640</v>
      </c>
    </row>
    <row r="29" spans="1:7" x14ac:dyDescent="0.25">
      <c r="A29" s="1" t="s">
        <v>242</v>
      </c>
      <c r="B29" s="192">
        <f t="shared" si="0"/>
        <v>1</v>
      </c>
      <c r="C29" s="192">
        <f t="shared" si="0"/>
        <v>0.99999999999999989</v>
      </c>
      <c r="D29" s="192">
        <f t="shared" si="0"/>
        <v>1</v>
      </c>
      <c r="E29" s="192">
        <f t="shared" si="0"/>
        <v>1</v>
      </c>
      <c r="F29" s="192">
        <f t="shared" si="0"/>
        <v>1</v>
      </c>
    </row>
    <row r="30" spans="1:7" x14ac:dyDescent="0.25">
      <c r="A30" t="s">
        <v>237</v>
      </c>
      <c r="B30" s="6">
        <v>34850</v>
      </c>
      <c r="C30" s="6">
        <f>C28</f>
        <v>735590</v>
      </c>
      <c r="D30" s="6">
        <f>D28</f>
        <v>2752570</v>
      </c>
      <c r="E30" s="6">
        <f>E28</f>
        <v>8769630</v>
      </c>
      <c r="F30" s="6">
        <f>F28</f>
        <v>18172640</v>
      </c>
    </row>
    <row r="31" spans="1:7" x14ac:dyDescent="0.25">
      <c r="A31" t="s">
        <v>107</v>
      </c>
      <c r="B31" s="6">
        <f>ROUNDUP(B18*0.02+B22*0.02+B24+B26,0)</f>
        <v>10119</v>
      </c>
      <c r="C31" s="6">
        <f>ROUNDUP(C18*0.02+C22*0.108906164458557+C24+C26,0)</f>
        <v>213764</v>
      </c>
      <c r="D31" s="6">
        <f>ROUNDUP(D18*0.02+D22*0.0632434727234133+D24+D26,0)</f>
        <v>640476</v>
      </c>
      <c r="E31" s="6">
        <f>ROUNDUP(E18*0.02+E22*0.0563323963254713+E24+E26,0)</f>
        <v>1619926</v>
      </c>
      <c r="F31" s="6">
        <f>ROUNDUP(F18*0.02+F22*0.0575973826807075+F24+F26,0)</f>
        <v>3522984</v>
      </c>
    </row>
    <row r="32" spans="1:7" x14ac:dyDescent="0.25">
      <c r="A32" t="s">
        <v>248</v>
      </c>
      <c r="B32" s="193">
        <v>0.2</v>
      </c>
      <c r="C32" s="193">
        <v>0.2</v>
      </c>
      <c r="D32" s="193">
        <v>0.2</v>
      </c>
      <c r="E32" s="193">
        <v>0.2</v>
      </c>
      <c r="F32" s="193">
        <v>0.2</v>
      </c>
    </row>
    <row r="33" spans="1:6" x14ac:dyDescent="0.25">
      <c r="A33" t="s">
        <v>249</v>
      </c>
      <c r="B33" s="6">
        <f>ROUNDUP(B18*0.98*B32,0)</f>
        <v>412</v>
      </c>
      <c r="C33" s="6">
        <f>ROUNDUP(C18*0.98*C32,0)</f>
        <v>5802</v>
      </c>
      <c r="D33" s="6">
        <f>ROUNDUP(D18*0.98*D32,0)</f>
        <v>43022</v>
      </c>
      <c r="E33" s="6">
        <f>ROUNDUP(E18*0.98*E32,0)</f>
        <v>68289</v>
      </c>
      <c r="F33" s="6">
        <f>ROUNDUP(F18*0.98*F32,0)</f>
        <v>81732</v>
      </c>
    </row>
    <row r="34" spans="1:6" x14ac:dyDescent="0.25">
      <c r="A34" t="s">
        <v>236</v>
      </c>
      <c r="B34" s="6">
        <f>B31-B33</f>
        <v>9707</v>
      </c>
      <c r="C34" s="6">
        <f>C31-C33</f>
        <v>207962</v>
      </c>
      <c r="D34" s="6">
        <f>D31-D33</f>
        <v>597454</v>
      </c>
      <c r="E34" s="6">
        <f>E31-E33</f>
        <v>1551637</v>
      </c>
      <c r="F34" s="6">
        <f>F31-F33</f>
        <v>3441252</v>
      </c>
    </row>
    <row r="35" spans="1:6" x14ac:dyDescent="0.25">
      <c r="A35" t="s">
        <v>240</v>
      </c>
      <c r="B35" s="6">
        <v>1744</v>
      </c>
      <c r="C35" s="6">
        <v>26276</v>
      </c>
      <c r="D35" s="6">
        <v>114512</v>
      </c>
      <c r="E35" s="6">
        <v>417377</v>
      </c>
      <c r="F35" s="6">
        <v>853394</v>
      </c>
    </row>
    <row r="36" spans="1:6" x14ac:dyDescent="0.25">
      <c r="A36" t="s">
        <v>239</v>
      </c>
      <c r="B36" s="194">
        <f>B34/B35</f>
        <v>5.5659403669724767</v>
      </c>
      <c r="C36" s="194">
        <f>C34/C35</f>
        <v>7.9145227584107172</v>
      </c>
      <c r="D36" s="194">
        <f>D34/D35</f>
        <v>5.2173920637138469</v>
      </c>
      <c r="E36" s="194">
        <f>E34/E35</f>
        <v>3.7175910507766359</v>
      </c>
      <c r="F36" s="194">
        <f>F34/F35</f>
        <v>4.0324305068936503</v>
      </c>
    </row>
    <row r="37" spans="1:6" x14ac:dyDescent="0.25">
      <c r="A37" t="s">
        <v>238</v>
      </c>
      <c r="B37" s="14">
        <f>B34/B16</f>
        <v>0.27734285714285717</v>
      </c>
      <c r="C37" s="14"/>
      <c r="D37" s="14"/>
      <c r="E37" s="14"/>
      <c r="F37" s="14"/>
    </row>
    <row r="38" spans="1:6" x14ac:dyDescent="0.25">
      <c r="A38" t="s">
        <v>250</v>
      </c>
      <c r="B38" s="37">
        <f>B34/B22</f>
        <v>0.47723697148475908</v>
      </c>
      <c r="C38" s="37">
        <f>C34/C22</f>
        <v>0.45540786160078833</v>
      </c>
      <c r="D38" s="37">
        <f>D34/D22</f>
        <v>0.31705264275100825</v>
      </c>
      <c r="E38" s="37">
        <f>E34/E22</f>
        <v>0.23563955722202226</v>
      </c>
      <c r="F38" s="37">
        <f>F34/F22</f>
        <v>0.25130734514437614</v>
      </c>
    </row>
    <row r="39" spans="1:6" x14ac:dyDescent="0.25">
      <c r="A39" t="s">
        <v>259</v>
      </c>
      <c r="B39" s="37">
        <f>B24/B22</f>
        <v>0.45427728613569324</v>
      </c>
      <c r="C39" s="37">
        <f>C24/C22</f>
        <v>0.33461075221723419</v>
      </c>
      <c r="D39" s="37">
        <f>D24/D22</f>
        <v>0.2563468478030142</v>
      </c>
      <c r="E39" s="37">
        <f>E24/E22</f>
        <v>0.17691832237626409</v>
      </c>
      <c r="F39" s="37">
        <f>F24/F22</f>
        <v>0.19157915492134897</v>
      </c>
    </row>
    <row r="40" spans="1:6" x14ac:dyDescent="0.25">
      <c r="A40" t="s">
        <v>279</v>
      </c>
      <c r="B40" s="195">
        <f>B22/(100%+B43)*100%</f>
        <v>10561.29601744639</v>
      </c>
      <c r="C40" s="195">
        <f>C22/(100%+C43)*100%</f>
        <v>237109.92263357391</v>
      </c>
      <c r="D40" s="195">
        <f>D22/(100%+D43)*100%</f>
        <v>975917.96571546956</v>
      </c>
      <c r="E40" s="195">
        <f>E22/(100%+E43)*100%</f>
        <v>3399654.0864267643</v>
      </c>
      <c r="F40" s="195">
        <f>F22/(100%+F43)*100%</f>
        <v>7044292.4018725241</v>
      </c>
    </row>
    <row r="41" spans="1:6" x14ac:dyDescent="0.25">
      <c r="A41" t="s">
        <v>295</v>
      </c>
      <c r="B41" s="196">
        <v>0.249</v>
      </c>
      <c r="C41" s="196">
        <v>0.249</v>
      </c>
      <c r="D41" s="196">
        <v>0.249</v>
      </c>
      <c r="E41" s="196">
        <v>0.249</v>
      </c>
      <c r="F41" s="196">
        <v>0.249</v>
      </c>
    </row>
    <row r="43" spans="1:6" x14ac:dyDescent="0.25">
      <c r="A43" t="s">
        <v>251</v>
      </c>
      <c r="B43" s="34">
        <v>0.92589999999999995</v>
      </c>
      <c r="C43" s="34">
        <v>0.92589999999999995</v>
      </c>
      <c r="D43" s="34">
        <v>0.93089999999999995</v>
      </c>
      <c r="E43" s="34">
        <v>0.93689999999999996</v>
      </c>
      <c r="F43" s="34">
        <v>0.94389999999999996</v>
      </c>
    </row>
    <row r="44" spans="1:6" x14ac:dyDescent="0.25">
      <c r="A44" t="s">
        <v>252</v>
      </c>
      <c r="B44" s="31">
        <v>0.05</v>
      </c>
      <c r="C44" s="31">
        <v>0.05</v>
      </c>
      <c r="D44" s="31">
        <v>0.05</v>
      </c>
      <c r="E44" s="31">
        <v>0.05</v>
      </c>
      <c r="F44" s="31">
        <v>0.05</v>
      </c>
    </row>
    <row r="45" spans="1:6" x14ac:dyDescent="0.25">
      <c r="A45" t="s">
        <v>253</v>
      </c>
      <c r="B45" s="31">
        <v>0.05</v>
      </c>
      <c r="C45" s="31">
        <v>0.05</v>
      </c>
      <c r="D45" s="31">
        <v>0.05</v>
      </c>
      <c r="E45" s="31">
        <v>0.05</v>
      </c>
      <c r="F45" s="31">
        <v>0.05</v>
      </c>
    </row>
    <row r="47" spans="1:6" x14ac:dyDescent="0.25">
      <c r="A47" t="s">
        <v>254</v>
      </c>
      <c r="B47" s="6">
        <v>8.5</v>
      </c>
      <c r="C47" s="6">
        <v>8.08</v>
      </c>
      <c r="D47" s="6">
        <v>8.08</v>
      </c>
      <c r="E47" s="6">
        <v>8.08</v>
      </c>
      <c r="F47" s="6">
        <v>8.08</v>
      </c>
    </row>
    <row r="48" spans="1:6" x14ac:dyDescent="0.25">
      <c r="A48" t="s">
        <v>255</v>
      </c>
      <c r="B48" s="6">
        <f>B47*B43</f>
        <v>7.8701499999999998</v>
      </c>
      <c r="C48" s="6">
        <f>C47*C43</f>
        <v>7.4812719999999997</v>
      </c>
      <c r="D48" s="6">
        <f>D47*D43</f>
        <v>7.5216719999999997</v>
      </c>
      <c r="E48" s="6">
        <f>E47*E43</f>
        <v>7.5701519999999993</v>
      </c>
      <c r="F48" s="6">
        <f>F47*F43</f>
        <v>7.6267119999999995</v>
      </c>
    </row>
    <row r="49" spans="1:15" x14ac:dyDescent="0.25">
      <c r="A49" t="s">
        <v>256</v>
      </c>
      <c r="B49" s="6">
        <f>B47*B44</f>
        <v>0.42500000000000004</v>
      </c>
      <c r="C49" s="6">
        <f>C47*C44</f>
        <v>0.40400000000000003</v>
      </c>
      <c r="D49" s="6">
        <f>D47*D44</f>
        <v>0.40400000000000003</v>
      </c>
      <c r="E49" s="6">
        <f>E47*E44</f>
        <v>0.40400000000000003</v>
      </c>
      <c r="F49" s="6">
        <f>F47*F44</f>
        <v>0.40400000000000003</v>
      </c>
    </row>
    <row r="50" spans="1:15" x14ac:dyDescent="0.25">
      <c r="A50" s="1" t="s">
        <v>231</v>
      </c>
      <c r="B50" s="22">
        <f>SUM(B47:B49)</f>
        <v>16.79515</v>
      </c>
      <c r="C50" s="22">
        <f>SUM(C47:C49)</f>
        <v>15.965271999999999</v>
      </c>
      <c r="D50" s="22">
        <f>SUM(D47:D49)</f>
        <v>16.005672000000001</v>
      </c>
      <c r="E50" s="22">
        <f>SUM(E47:E49)</f>
        <v>16.054151999999998</v>
      </c>
      <c r="F50" s="22">
        <f>SUM(F47:F49)</f>
        <v>16.110711999999999</v>
      </c>
    </row>
    <row r="51" spans="1:15" x14ac:dyDescent="0.25">
      <c r="A51" t="s">
        <v>107</v>
      </c>
      <c r="B51" s="6">
        <f>B36</f>
        <v>5.5659403669724767</v>
      </c>
      <c r="C51" s="6">
        <f>C36</f>
        <v>7.9145227584107172</v>
      </c>
      <c r="D51" s="6">
        <f>D36</f>
        <v>5.2173920637138469</v>
      </c>
      <c r="E51" s="6">
        <f>E36</f>
        <v>3.7175910507766359</v>
      </c>
      <c r="F51" s="6">
        <f>F36</f>
        <v>4.0324305068936503</v>
      </c>
    </row>
    <row r="52" spans="1:15" x14ac:dyDescent="0.25">
      <c r="A52" s="1" t="s">
        <v>257</v>
      </c>
      <c r="B52" s="22">
        <f>SUM(B50:B51)</f>
        <v>22.361090366972476</v>
      </c>
      <c r="C52" s="22">
        <f>SUM(C50:C51)</f>
        <v>23.879794758410718</v>
      </c>
      <c r="D52" s="22">
        <f>SUM(D50:D51)</f>
        <v>21.223064063713849</v>
      </c>
      <c r="E52" s="22">
        <f>SUM(E50:E51)</f>
        <v>19.771743050776635</v>
      </c>
      <c r="F52" s="22">
        <f>SUM(F50:F51)</f>
        <v>20.14314250689365</v>
      </c>
    </row>
    <row r="53" spans="1:15" x14ac:dyDescent="0.25">
      <c r="A53" t="s">
        <v>253</v>
      </c>
      <c r="B53" s="6">
        <f>B52*B45</f>
        <v>1.1180545183486239</v>
      </c>
      <c r="C53" s="6">
        <f>C52*C45</f>
        <v>1.193989737920536</v>
      </c>
      <c r="D53" s="6">
        <f>D52*D45</f>
        <v>1.0611532031856925</v>
      </c>
      <c r="E53" s="6">
        <f>E52*E45</f>
        <v>0.98858715253883178</v>
      </c>
      <c r="F53" s="6">
        <f>F52*F45</f>
        <v>1.0071571253446825</v>
      </c>
    </row>
    <row r="54" spans="1:15" x14ac:dyDescent="0.25">
      <c r="A54" s="1" t="s">
        <v>258</v>
      </c>
      <c r="B54" s="22">
        <f>SUM(B52:B53)</f>
        <v>23.479144885321102</v>
      </c>
      <c r="C54" s="22">
        <f>SUM(C52:C53)</f>
        <v>25.073784496331253</v>
      </c>
      <c r="D54" s="22">
        <f>SUM(D52:D53)</f>
        <v>22.284217266899542</v>
      </c>
      <c r="E54" s="22">
        <f>SUM(E52:E53)</f>
        <v>20.760330203315466</v>
      </c>
      <c r="F54" s="22">
        <f>SUM(F52:F53)</f>
        <v>21.150299632238333</v>
      </c>
    </row>
    <row r="55" spans="1:15" x14ac:dyDescent="0.25">
      <c r="A55" s="10" t="s">
        <v>265</v>
      </c>
      <c r="B55" s="36">
        <f>B53/B58</f>
        <v>0.10531291087916204</v>
      </c>
      <c r="C55" s="36">
        <f>C53/C58</f>
        <v>0.11831145489862541</v>
      </c>
      <c r="D55" s="36">
        <f>D53/D58</f>
        <v>0.10514879261683528</v>
      </c>
      <c r="E55" s="36">
        <f>E53/E58</f>
        <v>9.7958282719128931E-2</v>
      </c>
      <c r="F55" s="36">
        <f>F53/F58</f>
        <v>9.979836595461343E-2</v>
      </c>
    </row>
    <row r="57" spans="1:15" x14ac:dyDescent="0.25">
      <c r="A57" s="1" t="s">
        <v>260</v>
      </c>
      <c r="B57" s="205" t="s">
        <v>312</v>
      </c>
      <c r="C57" s="205" t="s">
        <v>308</v>
      </c>
      <c r="D57" s="205" t="s">
        <v>309</v>
      </c>
      <c r="E57" s="205" t="s">
        <v>310</v>
      </c>
      <c r="F57" s="205" t="s">
        <v>311</v>
      </c>
      <c r="G57" s="205" t="s">
        <v>306</v>
      </c>
      <c r="H57" s="205" t="s">
        <v>307</v>
      </c>
      <c r="K57" s="205" t="s">
        <v>306</v>
      </c>
      <c r="O57" s="213" t="s">
        <v>315</v>
      </c>
    </row>
    <row r="58" spans="1:15" x14ac:dyDescent="0.25">
      <c r="A58" s="1" t="s">
        <v>262</v>
      </c>
      <c r="B58" s="6">
        <f>B47*(1+B41)</f>
        <v>10.6165</v>
      </c>
      <c r="C58" s="6">
        <f>C47*(1+C41)</f>
        <v>10.091920000000002</v>
      </c>
      <c r="D58" s="6">
        <f>D47*(1+D41)</f>
        <v>10.091920000000002</v>
      </c>
      <c r="E58" s="6">
        <f>E47*(1+E41)</f>
        <v>10.091920000000002</v>
      </c>
      <c r="F58" s="6">
        <f>F47*(1+F41)</f>
        <v>10.091920000000002</v>
      </c>
      <c r="G58" s="212" t="str">
        <f>Unternehmensdaten!B7</f>
        <v>Ein Personen Unternehmen</v>
      </c>
      <c r="K58" t="s">
        <v>312</v>
      </c>
      <c r="L58">
        <v>1</v>
      </c>
      <c r="O58" s="213" t="s">
        <v>316</v>
      </c>
    </row>
    <row r="59" spans="1:15" x14ac:dyDescent="0.25">
      <c r="A59" s="203" t="s">
        <v>77</v>
      </c>
      <c r="B59" s="6"/>
      <c r="C59" s="215">
        <v>2.7300000000000001E-2</v>
      </c>
      <c r="D59" s="215">
        <v>2.7300000000000001E-2</v>
      </c>
      <c r="E59" s="215">
        <v>2.7300000000000001E-2</v>
      </c>
      <c r="F59" s="215">
        <v>2.7300000000000001E-2</v>
      </c>
      <c r="H59" s="14">
        <f>VLOOKUP($A59,$A$58:$F$65,MATCH($G$58,$A$57:$F$57,0),FALSE)</f>
        <v>0</v>
      </c>
      <c r="K59" t="s">
        <v>308</v>
      </c>
      <c r="L59">
        <v>2</v>
      </c>
      <c r="O59" s="213" t="s">
        <v>317</v>
      </c>
    </row>
    <row r="60" spans="1:15" x14ac:dyDescent="0.25">
      <c r="A60" s="8" t="s">
        <v>4</v>
      </c>
      <c r="B60" s="6"/>
      <c r="C60" s="6"/>
      <c r="D60" s="25">
        <f>D43-C43</f>
        <v>5.0000000000000044E-3</v>
      </c>
      <c r="E60" s="25">
        <f>E43-C43</f>
        <v>1.100000000000001E-2</v>
      </c>
      <c r="F60" s="199">
        <f>E60</f>
        <v>1.100000000000001E-2</v>
      </c>
      <c r="H60" s="14">
        <f>VLOOKUP($A60,$A$58:$F$65,MATCH($G$58,$A$57:$F$57,0),FALSE)</f>
        <v>0</v>
      </c>
      <c r="K60" t="s">
        <v>309</v>
      </c>
      <c r="L60">
        <v>3</v>
      </c>
    </row>
    <row r="61" spans="1:15" x14ac:dyDescent="0.25">
      <c r="A61" s="8" t="s">
        <v>269</v>
      </c>
      <c r="B61" s="6"/>
      <c r="C61" s="6"/>
      <c r="D61" s="25"/>
      <c r="E61" s="25"/>
      <c r="F61" s="199">
        <f>F43-C43-F60</f>
        <v>7.0000000000000062E-3</v>
      </c>
      <c r="G61" t="s">
        <v>283</v>
      </c>
      <c r="H61" s="14">
        <f>IF(Unternehmensdaten!B5="Wien",'Statistische Daten'!F61,0)</f>
        <v>7.0000000000000062E-3</v>
      </c>
      <c r="K61" t="s">
        <v>310</v>
      </c>
      <c r="L61">
        <v>4</v>
      </c>
      <c r="O61" s="213" t="s">
        <v>318</v>
      </c>
    </row>
    <row r="62" spans="1:15" x14ac:dyDescent="0.25">
      <c r="A62" s="8" t="s">
        <v>136</v>
      </c>
      <c r="B62" s="6">
        <v>0</v>
      </c>
      <c r="C62" s="25">
        <f>$B$79</f>
        <v>2.7426666666666667E-3</v>
      </c>
      <c r="D62" s="25">
        <f>$B$79</f>
        <v>2.7426666666666667E-3</v>
      </c>
      <c r="E62" s="25">
        <f>$B$79</f>
        <v>2.7426666666666667E-3</v>
      </c>
      <c r="F62" s="25">
        <f>$B$79</f>
        <v>2.7426666666666667E-3</v>
      </c>
      <c r="H62" s="14">
        <f>VLOOKUP($A62,$A$58:$F$65,MATCH($G$58,$A$57:$F$57,0),FALSE)</f>
        <v>0</v>
      </c>
      <c r="K62" t="s">
        <v>402</v>
      </c>
      <c r="L62">
        <v>5</v>
      </c>
      <c r="O62" s="213"/>
    </row>
    <row r="63" spans="1:15" x14ac:dyDescent="0.25">
      <c r="A63" s="8" t="s">
        <v>263</v>
      </c>
      <c r="B63" s="193">
        <v>0</v>
      </c>
      <c r="C63" s="6"/>
      <c r="D63" s="14">
        <f>70*'Österreichische Werte'!$E$39/D35/D58</f>
        <v>6.6703214290894514E-3</v>
      </c>
      <c r="E63" s="14">
        <f>250*'Österreichische Werte'!$E$39/E35/E58</f>
        <v>6.5359875697159299E-3</v>
      </c>
      <c r="F63" s="14">
        <f>510*'Österreichische Werte'!$E$39/F35/F58</f>
        <v>6.5210917854192389E-3</v>
      </c>
      <c r="G63" t="s">
        <v>293</v>
      </c>
      <c r="H63" s="14">
        <f>VLOOKUP($A63,$A$58:$F$65,MATCH($G$58,$A$57:$F$57,0),FALSE)</f>
        <v>0</v>
      </c>
      <c r="O63" s="213" t="s">
        <v>319</v>
      </c>
    </row>
    <row r="64" spans="1:15" x14ac:dyDescent="0.25">
      <c r="A64" s="8" t="s">
        <v>261</v>
      </c>
      <c r="B64" s="14">
        <f>B18*0.98/B35/B58</f>
        <v>0.11115206250267347</v>
      </c>
      <c r="C64" s="14">
        <f>C18*0.98/C35/C58</f>
        <v>0.10939179140240154</v>
      </c>
      <c r="D64" s="14">
        <f>D18*0.98/D35/D58</f>
        <v>0.18613832488706658</v>
      </c>
      <c r="E64" s="14">
        <f>E18*0.98/E35/E58</f>
        <v>8.106145130222632E-2</v>
      </c>
      <c r="F64" s="14">
        <f>F18*0.98/F35/F58</f>
        <v>4.7450276382942337E-2</v>
      </c>
      <c r="H64" s="14">
        <f>VLOOKUP($A64,$A$58:$F$65,MATCH($G$58,$A$57:$F$57,0),FALSE)</f>
        <v>0.11115206250267347</v>
      </c>
    </row>
    <row r="65" spans="1:8" x14ac:dyDescent="0.25">
      <c r="A65" s="8" t="s">
        <v>107</v>
      </c>
      <c r="B65" s="14">
        <f>B51/B58</f>
        <v>0.52427262911246419</v>
      </c>
      <c r="C65" s="14">
        <f>C51/C58</f>
        <v>0.78424350950173161</v>
      </c>
      <c r="D65" s="14">
        <f>D51/D58</f>
        <v>0.51698706130387939</v>
      </c>
      <c r="E65" s="14">
        <f>E51/E58</f>
        <v>0.36837302027529301</v>
      </c>
      <c r="F65" s="14">
        <f>F51/F58</f>
        <v>0.3995702013981135</v>
      </c>
      <c r="H65" s="14">
        <f>VLOOKUP($A65,$A$58:$F$65,MATCH($G$58,$A$57:$F$57,0),FALSE)</f>
        <v>0.52427262911246419</v>
      </c>
    </row>
    <row r="66" spans="1:8" x14ac:dyDescent="0.25">
      <c r="A66" s="203" t="s">
        <v>105</v>
      </c>
      <c r="C66" s="216">
        <v>7.0000000000000007E-2</v>
      </c>
      <c r="D66" s="216">
        <v>0.05</v>
      </c>
      <c r="E66" s="216">
        <v>0.09</v>
      </c>
      <c r="F66" s="216">
        <v>7.0000000000000007E-2</v>
      </c>
      <c r="H66" s="14">
        <f>VLOOKUP($A66,$A$58:$F$66,MATCH($G$58,$A$57:$F$57,0),FALSE)</f>
        <v>0</v>
      </c>
    </row>
    <row r="67" spans="1:8" x14ac:dyDescent="0.25">
      <c r="B67" s="6"/>
    </row>
    <row r="68" spans="1:8" x14ac:dyDescent="0.25">
      <c r="B68" s="42"/>
      <c r="C68" s="42"/>
      <c r="D68" s="42"/>
      <c r="E68" s="42"/>
      <c r="F68" s="42"/>
    </row>
    <row r="71" spans="1:8" x14ac:dyDescent="0.25">
      <c r="A71" s="210" t="s">
        <v>303</v>
      </c>
      <c r="B71" s="211"/>
      <c r="C71" s="211"/>
      <c r="D71" s="211"/>
      <c r="E71" s="211"/>
      <c r="F71" s="211"/>
      <c r="G71" s="211"/>
    </row>
    <row r="72" spans="1:8" x14ac:dyDescent="0.25">
      <c r="A72" t="s">
        <v>297</v>
      </c>
      <c r="B72" s="6">
        <v>630000000</v>
      </c>
    </row>
    <row r="73" spans="1:8" x14ac:dyDescent="0.25">
      <c r="A73" t="s">
        <v>298</v>
      </c>
      <c r="B73" s="6">
        <v>51000</v>
      </c>
    </row>
    <row r="74" spans="1:8" x14ac:dyDescent="0.25">
      <c r="A74" t="s">
        <v>296</v>
      </c>
      <c r="B74" s="31">
        <v>0.4</v>
      </c>
    </row>
    <row r="75" spans="1:8" x14ac:dyDescent="0.25">
      <c r="A75" t="s">
        <v>299</v>
      </c>
      <c r="B75" s="12">
        <f>B73*B74</f>
        <v>20400</v>
      </c>
    </row>
    <row r="76" spans="1:8" x14ac:dyDescent="0.25">
      <c r="A76" t="s">
        <v>301</v>
      </c>
      <c r="B76" s="31">
        <v>0.7</v>
      </c>
    </row>
    <row r="77" spans="1:8" x14ac:dyDescent="0.25">
      <c r="A77" t="s">
        <v>300</v>
      </c>
      <c r="B77" s="12">
        <f>B75*0.7</f>
        <v>14280</v>
      </c>
    </row>
    <row r="78" spans="1:8" x14ac:dyDescent="0.25">
      <c r="A78" t="s">
        <v>302</v>
      </c>
      <c r="B78" s="6">
        <f>B77*C78</f>
        <v>1727880</v>
      </c>
      <c r="C78" s="204">
        <f>'Österreichische Werte'!B42</f>
        <v>121</v>
      </c>
    </row>
    <row r="79" spans="1:8" x14ac:dyDescent="0.25">
      <c r="A79" t="s">
        <v>281</v>
      </c>
      <c r="B79" s="14">
        <f>B78/B72</f>
        <v>2.7426666666666667E-3</v>
      </c>
    </row>
  </sheetData>
  <sheetProtection password="CD72" sheet="1" objects="1" scenarios="1"/>
  <pageMargins left="0.7" right="0.7" top="0.78740157499999996" bottom="0.78740157499999996" header="0.3" footer="0.3"/>
  <pageSetup paperSize="9" scale="85"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11</vt:i4>
      </vt:variant>
    </vt:vector>
  </HeadingPairs>
  <TitlesOfParts>
    <vt:vector size="17" baseType="lpstr">
      <vt:lpstr>Unternehmensdaten</vt:lpstr>
      <vt:lpstr>Kalkulation</vt:lpstr>
      <vt:lpstr>Übersicht LZ_NLZ</vt:lpstr>
      <vt:lpstr>Österreichische Werte</vt:lpstr>
      <vt:lpstr>KV Daten DFG 2016</vt:lpstr>
      <vt:lpstr>Statistische Daten</vt:lpstr>
      <vt:lpstr>Bundesland</vt:lpstr>
      <vt:lpstr>Kalkulation!Druckbereich</vt:lpstr>
      <vt:lpstr>'KV Daten DFG 2016'!Druckbereich</vt:lpstr>
      <vt:lpstr>'Österreichische Werte'!Druckbereich</vt:lpstr>
      <vt:lpstr>'Statistische Daten'!Druckbereich</vt:lpstr>
      <vt:lpstr>'Übersicht LZ_NLZ'!Druckbereich</vt:lpstr>
      <vt:lpstr>Unternehmensdaten!Druckbereich</vt:lpstr>
      <vt:lpstr>DZ</vt:lpstr>
      <vt:lpstr>Feiertage</vt:lpstr>
      <vt:lpstr>kalkulationswerte</vt:lpstr>
      <vt:lpstr>Unternehmensart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Fiedler</dc:creator>
  <cp:lastModifiedBy>Berthold Bernhard, WKÖ Bigr VI</cp:lastModifiedBy>
  <cp:lastPrinted>2015-10-13T12:55:57Z</cp:lastPrinted>
  <dcterms:created xsi:type="dcterms:W3CDTF">2014-08-25T05:53:07Z</dcterms:created>
  <dcterms:modified xsi:type="dcterms:W3CDTF">2016-01-11T12:09:39Z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1888096237</vt:i4>
  </property>
  <property fmtid="{D5CDD505-2E9C-101B-9397-08002B2CF9AE}" pid="3" name="_NewReviewCycle">
    <vt:lpwstr/>
  </property>
  <property fmtid="{D5CDD505-2E9C-101B-9397-08002B2CF9AE}" pid="4" name="_EmailSubject">
    <vt:lpwstr>sauberplus.at</vt:lpwstr>
  </property>
  <property fmtid="{D5CDD505-2E9C-101B-9397-08002B2CF9AE}" pid="5" name="_AuthorEmail">
    <vt:lpwstr>Gabriela.Bergmann@wkw.at</vt:lpwstr>
  </property>
  <property fmtid="{D5CDD505-2E9C-101B-9397-08002B2CF9AE}" pid="6" name="_AuthorEmailDisplayName">
    <vt:lpwstr>Bergmann, Gabriela (WKW/SGH GHK)</vt:lpwstr>
  </property>
</Properties>
</file>